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3"/>
  </bookViews>
  <sheets>
    <sheet name="Financial Summary" sheetId="1" state="visible" r:id="rId3"/>
    <sheet name="DCF Valuation" sheetId="2" state="visible" r:id="rId4"/>
    <sheet name="Multiples Valuation" sheetId="3" state="visible" r:id="rId5"/>
    <sheet name="Summary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<sst xmlns="http://schemas.openxmlformats.org/spreadsheetml/2006/main" count="151" uniqueCount="123">
  <si>
    <t xml:space="preserve">Consulting Firm Valuation — Historical Financials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</si>
  <si>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</si>
  <si>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</si>
  <si>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</si>
  <si>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</si>
  <si>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</si>
  <si>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Revenue</t>
  </si>
  <si>
    <t xml:space="preserve">  Total Revenue</t>
  </si>
  <si>
    <t xml:space="preserve">Cost of Goods Sold</t>
  </si>
  <si>
    <t xml:space="preserve">  Subcontractor &amp; Third-Party Costs</t>
  </si>
  <si>
    <t xml:space="preserve">  Consultant Labor</t>
  </si>
  <si>
    <t xml:space="preserve">  Project Delivery Costs</t>
  </si>
  <si>
    <t xml:space="preserve">Total COGS</t>
  </si>
  <si>
    <t xml:space="preserve">Gross Profit</t>
  </si>
  <si>
    <t xml:space="preserve">Gross Margin %</t>
  </si>
  <si>
    <t xml:space="preserve">Operating Expenses</t>
  </si>
  <si>
    <t xml:space="preserve">  Rent &amp; Occupancy</t>
  </si>
  <si>
    <t xml:space="preserve">  Administrative &amp; Support Labor</t>
  </si>
  <si>
    <t xml:space="preserve">  Business Development &amp; Marketing</t>
  </si>
  <si>
    <t xml:space="preserve">  Utilities</t>
  </si>
  <si>
    <t xml:space="preserve">  Insurance</t>
  </si>
  <si>
    <t xml:space="preserve">  Repairs &amp; Maintenance</t>
  </si>
  <si>
    <t xml:space="preserve">  General &amp; Administrative</t>
  </si>
  <si>
    <t xml:space="preserve">Total Operating Expenses</t>
  </si>
  <si>
    <t xml:space="preserve">Profitability</t>
  </si>
  <si>
    <t xml:space="preserve">EBITDA</t>
  </si>
  <si>
    <t xml:space="preserve">EBITDA Margin %</t>
  </si>
  <si>
    <t xml:space="preserve">  Depreciation &amp; Amortization</t>
  </si>
  <si>
    <t xml:space="preserve">  Interest Expense</t>
  </si>
  <si>
    <t xml:space="preserve">  Taxes</t>
  </si>
  <si>
    <t xml:space="preserve">Net Income</t>
  </si>
  <si>
    <t xml:space="preserve">Net Income Margin %</t>
  </si>
  <si>
    <t xml:space="preserve">Balance Sheet Items</t>
  </si>
  <si>
    <t xml:space="preserve">  Total Assets</t>
  </si>
  <si>
    <t xml:space="preserve">  Total Debt</t>
  </si>
  <si>
    <t xml:space="preserve">  Cash &amp; Equivalents</t>
  </si>
  <si>
    <t xml:space="preserve">Net Debt</t>
  </si>
  <si>
    <t xml:space="preserve">Capital Expenditures</t>
  </si>
  <si>
    <t xml:space="preserve">  Capital Expenditures</t>
  </si>
  <si>
    <t xml:space="preserve">DCF Valuation</t>
  </si>
  <si>
    <t xml:space="preserve">Assumptions</t>
  </si>
  <si>
    <t xml:space="preserve">  Base Year Revenue ($)</t>
  </si>
  <si>
    <t xml:space="preserve">  Base Year EBITDA ($)</t>
  </si>
  <si>
    <t xml:space="preserve">  Revenue Growth Rate</t>
  </si>
  <si>
    <t xml:space="preserve">  EBITDA Margin (on projected revenue)</t>
  </si>
  <si>
    <t xml:space="preserve">  Tax Rate</t>
  </si>
  <si>
    <t xml:space="preserve">  Depreciation &amp; Amortization ($)</t>
  </si>
  <si>
    <t xml:space="preserve">  Change in Working Capital ($)</t>
  </si>
  <si>
    <t xml:space="preserve">  Capital Expenditures ($)</t>
  </si>
  <si>
    <t xml:space="preserve">  WACC (Discount Rate)</t>
  </si>
  <si>
    <t xml:space="preserve">  Terminal Growth Rate (Perpetuity)</t>
  </si>
  <si>
    <t xml:space="preserve">  Exit EBITDA Multiple</t>
  </si>
  <si>
    <t xml:space="preserve">Free Cash Flow Projections</t>
  </si>
  <si>
    <t xml:space="preserve">  Projected Revenue</t>
  </si>
  <si>
    <t xml:space="preserve">  Revenue Growth %</t>
  </si>
  <si>
    <t xml:space="preserve">  EBITDA</t>
  </si>
  <si>
    <t xml:space="preserve">  Less: Taxes on EBIT</t>
  </si>
  <si>
    <t xml:space="preserve">  Plus: Depreciation &amp; Amortization</t>
  </si>
  <si>
    <t xml:space="preserve">  Less: Capital Expenditures</t>
  </si>
  <si>
    <t xml:space="preserve">  Less: Change in Working Capital</t>
  </si>
  <si>
    <t xml:space="preserve">Unlevered Free Cash Flow</t>
  </si>
  <si>
    <t xml:space="preserve">  Discount Factor</t>
  </si>
  <si>
    <t xml:space="preserve">Present Value of FCF</t>
  </si>
  <si>
    <t xml:space="preserve">Terminal Value Calculation</t>
  </si>
  <si>
    <t xml:space="preserve">Method 1: Perpetuity Growth</t>
  </si>
  <si>
    <t xml:space="preserve">  Terminal Year FCF (Year 5 FCF × (1 + g))</t>
  </si>
  <si>
    <t xml:space="preserve">  Terminal Value (Perpetuity)</t>
  </si>
  <si>
    <t xml:space="preserve">  PV of Terminal Value</t>
  </si>
  <si>
    <t xml:space="preserve">Method 2: Exit Multiple</t>
  </si>
  <si>
    <t xml:space="preserve">  Terminal Year EBITDA</t>
  </si>
  <si>
    <t xml:space="preserve">  Terminal Value (Exit Multiple)</t>
  </si>
  <si>
    <t xml:space="preserve">Valuation Summary</t>
  </si>
  <si>
    <t xml:space="preserve">Perpetuity Growth</t>
  </si>
  <si>
    <t xml:space="preserve">Exit Multiple</t>
  </si>
  <si>
    <t xml:space="preserve">Sum of PV of FCFs</t>
  </si>
  <si>
    <t xml:space="preserve">PV of Terminal Value</t>
  </si>
  <si>
    <t xml:space="preserve">Enterprise Value</t>
  </si>
  <si>
    <t xml:space="preserve">Less: Total Debt</t>
  </si>
  <si>
    <t xml:space="preserve">Plus: Cash &amp; Equivalents</t>
  </si>
  <si>
    <t xml:space="preserve">Equity Value</t>
  </si>
  <si>
    <t xml:space="preserve">Multiples Valuation</t>
  </si>
  <si>
    <t xml:space="preserve">Base Financials (Most Recent Year)</t>
  </si>
  <si>
    <t xml:space="preserve">  Revenue</t>
  </si>
  <si>
    <t xml:space="preserve">  Net Income</t>
  </si>
  <si>
    <t xml:space="preserve">Comparable Multiples</t>
  </si>
  <si>
    <t xml:space="preserve">Low</t>
  </si>
  <si>
    <t xml:space="preserve">Mid</t>
  </si>
  <si>
    <t xml:space="preserve">High</t>
  </si>
  <si>
    <t xml:space="preserve">  Revenue Multiple (EV/Revenue)</t>
  </si>
  <si>
    <t xml:space="preserve">  EBITDA Multiple (EV/EBITDA)</t>
  </si>
  <si>
    <t xml:space="preserve">  Earnings Multiple (P/E)</t>
  </si>
  <si>
    <t xml:space="preserve">Implied Valuations (Enterprise Value)</t>
  </si>
  <si>
    <t xml:space="preserve">  EV (Revenue × Multiple)</t>
  </si>
  <si>
    <t xml:space="preserve">  EV (EBITDA × Multiple)</t>
  </si>
  <si>
    <t xml:space="preserve">  Equity Value (Earnings × Multiple)</t>
  </si>
  <si>
    <t xml:space="preserve">Equity Value Bridge (from EV)</t>
  </si>
  <si>
    <t xml:space="preserve">Revenue-Based</t>
  </si>
  <si>
    <t xml:space="preserve">  Enterprise Value</t>
  </si>
  <si>
    <t xml:space="preserve">  Less: Debt</t>
  </si>
  <si>
    <t xml:space="preserve">  Plus: Cash</t>
  </si>
  <si>
    <t xml:space="preserve">  Equity Value</t>
  </si>
  <si>
    <t xml:space="preserve">EBITDA-Based</t>
  </si>
  <si>
    <t xml:space="preserve">Earnings-Based</t>
  </si>
  <si>
    <t xml:space="preserve">  Equity Value (P/E × Earnings)</t>
  </si>
  <si>
    <t xml:space="preserve">Implied Equity Valuation Range</t>
  </si>
  <si>
    <t xml:space="preserve">  Revenue-Based</t>
  </si>
  <si>
    <t xml:space="preserve">  EBITDA-Based</t>
  </si>
  <si>
    <t xml:space="preserve">  Earnings-Based</t>
  </si>
  <si>
    <t xml:space="preserve">Overall Range</t>
  </si>
  <si>
    <t xml:space="preserve">Valuation Summary — Consulting Firm</t>
  </si>
  <si>
    <t xml:space="preserve">Valuation Comparison</t>
  </si>
  <si>
    <t xml:space="preserve">Method</t>
  </si>
  <si>
    <t xml:space="preserve">DCF — Perpetuity Growth</t>
  </si>
  <si>
    <t xml:space="preserve">DCF — Exit Multiple</t>
  </si>
  <si>
    <t xml:space="preserve">Multiples — Revenue</t>
  </si>
  <si>
    <t xml:space="preserve">Multiples — EBITDA</t>
  </si>
  <si>
    <t xml:space="preserve">Multiples — Earnings (P/E)</t>
  </si>
  <si>
    <t xml:space="preserve">Implied Valuation Range</t>
  </si>
  <si>
    <t xml:space="preserve">  Overall Equity Value</t>
  </si>
  <si>
    <t xml:space="preserve">Sensitivity — DCF Equity Value (Perpetuity Growth Method)</t>
  </si>
  <si>
    <t xml:space="preserve">WACC ↓  /  Growth Rate →</t>
  </si>
  <si>
    <t xml:space="preserve">Sensitivity — DCF Equity Value (Exit Multiple Method)</t>
  </si>
  <si>
    <t xml:space="preserve">WACC ↓  /  Exit Multiple →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</si>
</sst>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[RED]&quot;($&quot;#,##0\);\-"/>
    <numFmt numFmtId="166" formatCode="0.0%"/>
    <numFmt numFmtId="167" formatCode="0.0\x"/>
    <numFmt numFmtId="168" formatCode="0.000"/>
  </numFmts>
  <fonts count="17">
    <font>
      <sz val="12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FFFFFF"/>
      <name val="Aptos"/>
      <family val="0"/>
      <charset val="1"/>
    </font>
    <font>
      <b val="true"/>
      <sz val="11"/>
      <color rgb="FF1A3A2A"/>
      <name val="Aptos"/>
      <family val="0"/>
      <charset val="1"/>
    </font>
    <font>
      <sz val="11"/>
      <color theme="1"/>
      <name val="Aptos"/>
      <family val="0"/>
      <charset val="1"/>
    </font>
    <font>
      <sz val="11"/>
      <color rgb="FF0F172A"/>
      <name val="Aptos"/>
      <family val="0"/>
      <charset val="1"/>
    </font>
    <font>
      <b val="true"/>
      <sz val="11"/>
      <color theme="1"/>
      <name val="Aptos"/>
      <family val="0"/>
      <charset val="1"/>
    </font>
    <font>
      <b val="true"/>
      <i val="true"/>
      <sz val="11"/>
      <color rgb="FF334155"/>
      <name val="Aptos"/>
      <family val="0"/>
      <charset val="1"/>
    </font>
    <font>
      <i val="true"/>
      <sz val="11"/>
      <color rgb="FF334155"/>
      <name val="Aptos"/>
      <family val="0"/>
      <charset val="1"/>
    </font>
    <font>
      <i val="true"/>
      <sz val="11"/>
      <color rgb="FF008000"/>
      <name val="Aptos"/>
      <family val="0"/>
      <charset val="1"/>
    </font>
    <font>
      <sz val="11"/>
      <color rgb="FF0000FF"/>
      <name val="Aptos"/>
      <family val="0"/>
      <charset val="1"/>
    </font>
    <font>
      <b val="true"/>
      <sz val="11"/>
      <color rgb="FF334155"/>
      <name val="Aptos"/>
      <family val="0"/>
      <charset val="1"/>
    </font>
    <font>
      <b val="true"/>
      <sz val="10"/>
      <color theme="1"/>
      <name val="Aptos"/>
      <family val="0"/>
      <charset val="1"/>
    </font>
    <font>
      <b val="true"/>
      <sz val="11"/>
      <color rgb="FFFFFFFF"/>
      <name val="Aptos"/>
      <family val="0"/>
      <charset val="1"/>
    </font>
    <font>
      <b val="true"/>
      <sz val="11"/>
      <color rgb="FF000000"/>
      <name val="Aptos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3A2A"/>
        <bgColor rgb="FF333300"/>
      </patternFill>
    </fill>
    <fill>
      <patternFill patternType="solid">
        <fgColor rgb="FFECFDF5"/>
        <bgColor rgb="FFF8FAFC"/>
      </patternFill>
    </fill>
    <fill>
      <patternFill patternType="solid">
        <fgColor rgb="FFFFFFFF"/>
        <bgColor rgb="FFF8FAFC"/>
      </patternFill>
    </fill>
    <fill>
      <patternFill patternType="solid">
        <fgColor rgb="FFF8FAFC"/>
        <bgColor rgb="FFFFFF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dashed">
        <color rgb="FFCBD5E1"/>
      </bottom>
      <diagonal/>
    </border>
    <border diagonalUp="false" diagonalDown="false">
      <left/>
      <right/>
      <top style="dashed">
        <color rgb="FFCBD5E1"/>
      </top>
      <bottom/>
      <diagonal/>
    </border>
    <border diagonalUp="false" diagonalDown="false">
      <left/>
      <right/>
      <top style="thin">
        <color rgb="FFA7F3D0"/>
      </top>
      <bottom style="medium">
        <color rgb="FF1A3A2A"/>
      </bottom>
      <diagonal/>
    </border>
    <border diagonalUp="false" diagonalDown="false">
      <left/>
      <right/>
      <top style="dashed">
        <color rgb="FFCBD5E1"/>
      </top>
      <bottom style="dashed">
        <color rgb="FFCBD5E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8FAFC"/>
      <rgbColor rgb="FFECFDF5"/>
      <rgbColor rgb="FF660066"/>
      <rgbColor rgb="FFFF8080"/>
      <rgbColor rgb="FF0066CC"/>
      <rgbColor rgb="FFCBD5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7F3D0"/>
      <rgbColor rgb="FFFFFF99"/>
      <rgbColor rgb="FF99CCFF"/>
      <rgbColor rgb="FFFF99CC"/>
      <rgbColor rgb="FFCC99FF"/>
      <rgbColor rgb="FFFFCC99"/>
      <rgbColor rgb="FF3366FF"/>
      <rgbColor rgb="FF34D3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F172A"/>
      <rgbColor rgb="FF333300"/>
      <rgbColor rgb="FF993300"/>
      <rgbColor rgb="FF993366"/>
      <rgbColor rgb="FF334155"/>
      <rgbColor rgb="FF1A3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F4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6" min="2" style="0" width="18.33"/>
  </cols>
  <sheetData>
    <row r="1" customFormat="false" ht="18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customFormat="false" ht="15.75" hidden="false" customHeight="false" outlineLevel="0" collapsed="false">
      <c r="A2" s="3" t="s">
        <v>6</v>
      </c>
      <c r="B2" s="4"/>
      <c r="C2" s="4"/>
      <c r="D2" s="4"/>
      <c r="E2" s="4"/>
      <c r="F2" s="4"/>
    </row>
    <row r="3" customFormat="false" ht="15.75" hidden="false" customHeight="false" outlineLevel="0" collapsed="false">
      <c r="A3" s="5" t="s">
        <v>7</v>
      </c>
      <c r="B3" s="6" t="n">
        <v>1850000</v>
      </c>
      <c r="C3" s="6" t="n">
        <v>2020000</v>
      </c>
      <c r="D3" s="6" t="n">
        <v>2250000</v>
      </c>
      <c r="E3" s="6" t="n">
        <v>2410000</v>
      </c>
      <c r="F3" s="6" t="n">
        <v>2580000</v>
      </c>
    </row>
    <row r="4" customFormat="false" ht="15.75" hidden="false" customHeight="false" outlineLevel="0" collapsed="false">
      <c r="A4" s="5"/>
      <c r="B4" s="7"/>
      <c r="C4" s="7"/>
      <c r="D4" s="7"/>
      <c r="E4" s="7"/>
      <c r="F4" s="7"/>
    </row>
    <row r="5" customFormat="false" ht="15.75" hidden="false" customHeight="false" outlineLevel="0" collapsed="false">
      <c r="A5" s="3" t="s">
        <v>8</v>
      </c>
      <c r="B5" s="4"/>
      <c r="C5" s="4"/>
      <c r="D5" s="4"/>
      <c r="E5" s="4"/>
      <c r="F5" s="4"/>
    </row>
    <row r="6" customFormat="false" ht="15.75" hidden="false" customHeight="false" outlineLevel="0" collapsed="false">
      <c r="A6" s="5" t="s">
        <v>9</v>
      </c>
      <c r="B6" s="8" t="n">
        <v>555000</v>
      </c>
      <c r="C6" s="8" t="n">
        <v>596000</v>
      </c>
      <c r="D6" s="8" t="n">
        <v>653000</v>
      </c>
      <c r="E6" s="8" t="n">
        <v>699000</v>
      </c>
      <c r="F6" s="8" t="n">
        <v>748000</v>
      </c>
    </row>
    <row r="7" customFormat="false" ht="15.75" hidden="false" customHeight="false" outlineLevel="0" collapsed="false">
      <c r="A7" s="5" t="s">
        <v>10</v>
      </c>
      <c r="B7" s="9" t="n">
        <v>333000</v>
      </c>
      <c r="C7" s="9" t="n">
        <v>354000</v>
      </c>
      <c r="D7" s="9" t="n">
        <v>383000</v>
      </c>
      <c r="E7" s="9" t="n">
        <v>410000</v>
      </c>
      <c r="F7" s="9" t="n">
        <v>439000</v>
      </c>
    </row>
    <row r="8" customFormat="false" ht="15.75" hidden="false" customHeight="false" outlineLevel="0" collapsed="false">
      <c r="A8" s="5" t="s">
        <v>11</v>
      </c>
      <c r="B8" s="9" t="n">
        <v>74000</v>
      </c>
      <c r="C8" s="9" t="n">
        <v>81000</v>
      </c>
      <c r="D8" s="9" t="n">
        <v>90000</v>
      </c>
      <c r="E8" s="9" t="n">
        <v>96000</v>
      </c>
      <c r="F8" s="9" t="n">
        <v>103000</v>
      </c>
    </row>
    <row r="9" customFormat="false" ht="16.5" hidden="false" customHeight="true" outlineLevel="0" collapsed="false">
      <c r="A9" s="10" t="s">
        <v>12</v>
      </c>
      <c r="B9" s="11" t="n">
        <f aca="false">SUM(B6:B8)</f>
        <v>962000</v>
      </c>
      <c r="C9" s="11" t="n">
        <f aca="false">SUM(C6:C8)</f>
        <v>1031000</v>
      </c>
      <c r="D9" s="11" t="n">
        <f aca="false">SUM(D6:D8)</f>
        <v>1126000</v>
      </c>
      <c r="E9" s="11" t="n">
        <f aca="false">SUM(E6:E8)</f>
        <v>1205000</v>
      </c>
      <c r="F9" s="11" t="n">
        <f aca="false">SUM(F6:F8)</f>
        <v>1290000</v>
      </c>
    </row>
    <row r="10" customFormat="false" ht="15.75" hidden="false" customHeight="false" outlineLevel="0" collapsed="false">
      <c r="A10" s="5"/>
      <c r="B10" s="7"/>
      <c r="C10" s="7"/>
      <c r="D10" s="7"/>
      <c r="E10" s="7"/>
      <c r="F10" s="7"/>
    </row>
    <row r="11" customFormat="false" ht="16.5" hidden="false" customHeight="true" outlineLevel="0" collapsed="false">
      <c r="A11" s="10" t="s">
        <v>13</v>
      </c>
      <c r="B11" s="12" t="n">
        <f aca="false">B3-B9</f>
        <v>888000</v>
      </c>
      <c r="C11" s="12" t="n">
        <f aca="false">C3-C9</f>
        <v>989000</v>
      </c>
      <c r="D11" s="12" t="n">
        <f aca="false">D3-D9</f>
        <v>1124000</v>
      </c>
      <c r="E11" s="12" t="n">
        <f aca="false">E3-E9</f>
        <v>1205000</v>
      </c>
      <c r="F11" s="12" t="n">
        <f aca="false">F3-F9</f>
        <v>1290000</v>
      </c>
    </row>
    <row r="12" customFormat="false" ht="15.75" hidden="false" customHeight="false" outlineLevel="0" collapsed="false">
      <c r="A12" s="5" t="s">
        <v>14</v>
      </c>
      <c r="B12" s="13" t="n">
        <f aca="false">IF(B3=0,"",B11/B3)</f>
        <v>0.48</v>
      </c>
      <c r="C12" s="13" t="n">
        <f aca="false">IF(C3=0,"",C11/C3)</f>
        <v>0.48960396039604</v>
      </c>
      <c r="D12" s="13" t="n">
        <f aca="false">IF(D3=0,"",D11/D3)</f>
        <v>0.499555555555556</v>
      </c>
      <c r="E12" s="13" t="n">
        <f aca="false">IF(E3=0,"",E11/E3)</f>
        <v>0.5</v>
      </c>
      <c r="F12" s="13" t="n">
        <f aca="false">IF(F3=0,"",F11/F3)</f>
        <v>0.5</v>
      </c>
    </row>
    <row r="13" customFormat="false" ht="15.75" hidden="false" customHeight="false" outlineLevel="0" collapsed="false">
      <c r="A13" s="5"/>
      <c r="B13" s="7"/>
      <c r="C13" s="7"/>
      <c r="D13" s="7"/>
      <c r="E13" s="7"/>
      <c r="F13" s="7"/>
    </row>
    <row r="14" customFormat="false" ht="15.75" hidden="false" customHeight="false" outlineLevel="0" collapsed="false">
      <c r="A14" s="3" t="s">
        <v>15</v>
      </c>
      <c r="B14" s="4"/>
      <c r="C14" s="4"/>
      <c r="D14" s="4"/>
      <c r="E14" s="4"/>
      <c r="F14" s="4"/>
    </row>
    <row r="15" customFormat="false" ht="15.75" hidden="false" customHeight="false" outlineLevel="0" collapsed="false">
      <c r="A15" s="5" t="s">
        <v>16</v>
      </c>
      <c r="B15" s="8" t="n">
        <v>185000</v>
      </c>
      <c r="C15" s="8" t="n">
        <v>190000</v>
      </c>
      <c r="D15" s="8" t="n">
        <v>198000</v>
      </c>
      <c r="E15" s="8" t="n">
        <v>205000</v>
      </c>
      <c r="F15" s="8" t="n">
        <v>212000</v>
      </c>
    </row>
    <row r="16" customFormat="false" ht="15.75" hidden="false" customHeight="false" outlineLevel="0" collapsed="false">
      <c r="A16" s="5" t="s">
        <v>17</v>
      </c>
      <c r="B16" s="9" t="n">
        <v>296000</v>
      </c>
      <c r="C16" s="9" t="n">
        <v>313000</v>
      </c>
      <c r="D16" s="9" t="n">
        <v>338000</v>
      </c>
      <c r="E16" s="9" t="n">
        <v>362000</v>
      </c>
      <c r="F16" s="9" t="n">
        <v>387000</v>
      </c>
    </row>
    <row r="17" customFormat="false" ht="15.75" hidden="false" customHeight="false" outlineLevel="0" collapsed="false">
      <c r="A17" s="5" t="s">
        <v>18</v>
      </c>
      <c r="B17" s="9" t="n">
        <v>55500</v>
      </c>
      <c r="C17" s="9" t="n">
        <v>60600</v>
      </c>
      <c r="D17" s="9" t="n">
        <v>67500</v>
      </c>
      <c r="E17" s="9" t="n">
        <v>72300</v>
      </c>
      <c r="F17" s="9" t="n">
        <v>77400</v>
      </c>
    </row>
    <row r="18" customFormat="false" ht="15.75" hidden="false" customHeight="false" outlineLevel="0" collapsed="false">
      <c r="A18" s="5" t="s">
        <v>19</v>
      </c>
      <c r="B18" s="9" t="n">
        <v>37000</v>
      </c>
      <c r="C18" s="9" t="n">
        <v>38400</v>
      </c>
      <c r="D18" s="9" t="n">
        <v>40500</v>
      </c>
      <c r="E18" s="9" t="n">
        <v>43400</v>
      </c>
      <c r="F18" s="9" t="n">
        <v>46400</v>
      </c>
    </row>
    <row r="19" customFormat="false" ht="15.75" hidden="false" customHeight="false" outlineLevel="0" collapsed="false">
      <c r="A19" s="5" t="s">
        <v>20</v>
      </c>
      <c r="B19" s="9" t="n">
        <v>22200</v>
      </c>
      <c r="C19" s="9" t="n">
        <v>23200</v>
      </c>
      <c r="D19" s="9" t="n">
        <v>24800</v>
      </c>
      <c r="E19" s="9" t="n">
        <v>26500</v>
      </c>
      <c r="F19" s="9" t="n">
        <v>28400</v>
      </c>
    </row>
    <row r="20" customFormat="false" ht="15.75" hidden="false" customHeight="false" outlineLevel="0" collapsed="false">
      <c r="A20" s="5" t="s">
        <v>21</v>
      </c>
      <c r="B20" s="9" t="n">
        <v>27750</v>
      </c>
      <c r="C20" s="9" t="n">
        <v>30300</v>
      </c>
      <c r="D20" s="9" t="n">
        <v>33750</v>
      </c>
      <c r="E20" s="9" t="n">
        <v>36150</v>
      </c>
      <c r="F20" s="9" t="n">
        <v>38700</v>
      </c>
    </row>
    <row r="21" customFormat="false" ht="15.75" hidden="false" customHeight="false" outlineLevel="0" collapsed="false">
      <c r="A21" s="5" t="s">
        <v>22</v>
      </c>
      <c r="B21" s="9" t="n">
        <v>92500</v>
      </c>
      <c r="C21" s="9" t="n">
        <v>101000</v>
      </c>
      <c r="D21" s="9" t="n">
        <v>112500</v>
      </c>
      <c r="E21" s="9" t="n">
        <v>120500</v>
      </c>
      <c r="F21" s="9" t="n">
        <v>129000</v>
      </c>
    </row>
    <row r="22" customFormat="false" ht="16.5" hidden="false" customHeight="true" outlineLevel="0" collapsed="false">
      <c r="A22" s="10" t="s">
        <v>23</v>
      </c>
      <c r="B22" s="11" t="n">
        <f aca="false">SUM(B15:B21)</f>
        <v>715950</v>
      </c>
      <c r="C22" s="11" t="n">
        <f aca="false">SUM(C15:C21)</f>
        <v>756500</v>
      </c>
      <c r="D22" s="11" t="n">
        <f aca="false">SUM(D15:D21)</f>
        <v>815050</v>
      </c>
      <c r="E22" s="11" t="n">
        <f aca="false">SUM(E15:E21)</f>
        <v>865850</v>
      </c>
      <c r="F22" s="11" t="n">
        <f aca="false">SUM(F15:F21)</f>
        <v>918900</v>
      </c>
    </row>
    <row r="23" customFormat="false" ht="15.75" hidden="false" customHeight="false" outlineLevel="0" collapsed="false">
      <c r="A23" s="5"/>
      <c r="B23" s="7"/>
      <c r="C23" s="7"/>
      <c r="D23" s="7"/>
      <c r="E23" s="7"/>
      <c r="F23" s="7"/>
    </row>
    <row r="24" customFormat="false" ht="15.75" hidden="false" customHeight="false" outlineLevel="0" collapsed="false">
      <c r="A24" s="3" t="s">
        <v>24</v>
      </c>
      <c r="B24" s="4"/>
      <c r="C24" s="4"/>
      <c r="D24" s="4"/>
      <c r="E24" s="4"/>
      <c r="F24" s="4"/>
    </row>
    <row r="25" customFormat="false" ht="16.5" hidden="false" customHeight="true" outlineLevel="0" collapsed="false">
      <c r="A25" s="10" t="s">
        <v>25</v>
      </c>
      <c r="B25" s="12" t="n">
        <f aca="false">B11-B22</f>
        <v>172050</v>
      </c>
      <c r="C25" s="12" t="n">
        <f aca="false">C11-C22</f>
        <v>232500</v>
      </c>
      <c r="D25" s="12" t="n">
        <f aca="false">D11-D22</f>
        <v>308950</v>
      </c>
      <c r="E25" s="12" t="n">
        <f aca="false">E11-E22</f>
        <v>339150</v>
      </c>
      <c r="F25" s="12" t="n">
        <f aca="false">F11-F22</f>
        <v>371100</v>
      </c>
    </row>
    <row r="26" customFormat="false" ht="15.75" hidden="false" customHeight="false" outlineLevel="0" collapsed="false">
      <c r="A26" s="5" t="s">
        <v>26</v>
      </c>
      <c r="B26" s="13" t="n">
        <f aca="false">IF(B3=0,"",B25/B3)</f>
        <v>0.093</v>
      </c>
      <c r="C26" s="13" t="n">
        <f aca="false">IF(C3=0,"",C25/C3)</f>
        <v>0.11509900990099</v>
      </c>
      <c r="D26" s="13" t="n">
        <f aca="false">IF(D3=0,"",D25/D3)</f>
        <v>0.137311111111111</v>
      </c>
      <c r="E26" s="13" t="n">
        <f aca="false">IF(E3=0,"",E25/E3)</f>
        <v>0.140726141078838</v>
      </c>
      <c r="F26" s="13" t="n">
        <f aca="false">IF(F3=0,"",F25/F3)</f>
        <v>0.143837209302326</v>
      </c>
    </row>
    <row r="27" customFormat="false" ht="15.75" hidden="false" customHeight="false" outlineLevel="0" collapsed="false">
      <c r="A27" s="5" t="s">
        <v>27</v>
      </c>
      <c r="B27" s="8" t="n">
        <v>62000</v>
      </c>
      <c r="C27" s="8" t="n">
        <v>65000</v>
      </c>
      <c r="D27" s="8" t="n">
        <v>68000</v>
      </c>
      <c r="E27" s="8" t="n">
        <v>71000</v>
      </c>
      <c r="F27" s="8" t="n">
        <v>74000</v>
      </c>
    </row>
    <row r="28" customFormat="false" ht="15.75" hidden="false" customHeight="false" outlineLevel="0" collapsed="false">
      <c r="A28" s="5" t="s">
        <v>28</v>
      </c>
      <c r="B28" s="9" t="n">
        <v>28000</v>
      </c>
      <c r="C28" s="9" t="n">
        <v>26000</v>
      </c>
      <c r="D28" s="9" t="n">
        <v>24000</v>
      </c>
      <c r="E28" s="9" t="n">
        <v>22000</v>
      </c>
      <c r="F28" s="9" t="n">
        <v>20000</v>
      </c>
    </row>
    <row r="29" customFormat="false" ht="15.75" hidden="false" customHeight="false" outlineLevel="0" collapsed="false">
      <c r="A29" s="5" t="s">
        <v>29</v>
      </c>
      <c r="B29" s="9" t="n">
        <v>25000</v>
      </c>
      <c r="C29" s="9" t="n">
        <v>32000</v>
      </c>
      <c r="D29" s="9" t="n">
        <v>42000</v>
      </c>
      <c r="E29" s="9" t="n">
        <v>48000</v>
      </c>
      <c r="F29" s="9" t="n">
        <v>55000</v>
      </c>
    </row>
    <row r="30" customFormat="false" ht="16.5" hidden="false" customHeight="true" outlineLevel="0" collapsed="false">
      <c r="A30" s="10" t="s">
        <v>30</v>
      </c>
      <c r="B30" s="12" t="n">
        <f aca="false">B25-B27-B28-B29</f>
        <v>57050</v>
      </c>
      <c r="C30" s="12" t="n">
        <f aca="false">C25-C27-C28-C29</f>
        <v>109500</v>
      </c>
      <c r="D30" s="12" t="n">
        <f aca="false">D25-D27-D28-D29</f>
        <v>174950</v>
      </c>
      <c r="E30" s="12" t="n">
        <f aca="false">E25-E27-E28-E29</f>
        <v>198150</v>
      </c>
      <c r="F30" s="12" t="n">
        <f aca="false">F25-F27-F28-F29</f>
        <v>222100</v>
      </c>
    </row>
    <row r="31" customFormat="false" ht="15.75" hidden="false" customHeight="false" outlineLevel="0" collapsed="false">
      <c r="A31" s="5" t="s">
        <v>31</v>
      </c>
      <c r="B31" s="13" t="n">
        <f aca="false">IF(B3=0,"",B30/B3)</f>
        <v>0.0308378378378378</v>
      </c>
      <c r="C31" s="13" t="n">
        <f aca="false">IF(C3=0,"",C30/C3)</f>
        <v>0.0542079207920792</v>
      </c>
      <c r="D31" s="13" t="n">
        <f aca="false">IF(D3=0,"",D30/D3)</f>
        <v>0.0777555555555556</v>
      </c>
      <c r="E31" s="13" t="n">
        <f aca="false">IF(E3=0,"",E30/E3)</f>
        <v>0.0822199170124481</v>
      </c>
      <c r="F31" s="13" t="n">
        <f aca="false">IF(F3=0,"",F30/F3)</f>
        <v>0.0860852713178295</v>
      </c>
    </row>
    <row r="32" customFormat="false" ht="15.75" hidden="false" customHeight="false" outlineLevel="0" collapsed="false">
      <c r="A32" s="5"/>
      <c r="B32" s="7"/>
      <c r="C32" s="7"/>
      <c r="D32" s="7"/>
      <c r="E32" s="7"/>
      <c r="F32" s="7"/>
    </row>
    <row r="33" customFormat="false" ht="15.75" hidden="false" customHeight="false" outlineLevel="0" collapsed="false">
      <c r="A33" s="3" t="s">
        <v>32</v>
      </c>
      <c r="B33" s="4"/>
      <c r="C33" s="4"/>
      <c r="D33" s="4"/>
      <c r="E33" s="4"/>
      <c r="F33" s="4"/>
    </row>
    <row r="34" customFormat="false" ht="15.75" hidden="false" customHeight="false" outlineLevel="0" collapsed="false">
      <c r="A34" s="5" t="s">
        <v>33</v>
      </c>
      <c r="B34" s="8" t="n">
        <v>1450000</v>
      </c>
      <c r="C34" s="8" t="n">
        <v>1520000</v>
      </c>
      <c r="D34" s="8" t="n">
        <v>1620000</v>
      </c>
      <c r="E34" s="8" t="n">
        <v>1700000</v>
      </c>
      <c r="F34" s="8" t="n">
        <v>1780000</v>
      </c>
    </row>
    <row r="35" customFormat="false" ht="15.75" hidden="false" customHeight="false" outlineLevel="0" collapsed="false">
      <c r="A35" s="5" t="s">
        <v>34</v>
      </c>
      <c r="B35" s="9" t="n">
        <v>480000</v>
      </c>
      <c r="C35" s="9" t="n">
        <v>440000</v>
      </c>
      <c r="D35" s="9" t="n">
        <v>400000</v>
      </c>
      <c r="E35" s="9" t="n">
        <v>360000</v>
      </c>
      <c r="F35" s="9" t="n">
        <v>320000</v>
      </c>
    </row>
    <row r="36" customFormat="false" ht="15.75" hidden="false" customHeight="false" outlineLevel="0" collapsed="false">
      <c r="A36" s="5" t="s">
        <v>35</v>
      </c>
      <c r="B36" s="9" t="n">
        <v>125000</v>
      </c>
      <c r="C36" s="9" t="n">
        <v>148000</v>
      </c>
      <c r="D36" s="9" t="n">
        <v>185000</v>
      </c>
      <c r="E36" s="9" t="n">
        <v>220000</v>
      </c>
      <c r="F36" s="9" t="n">
        <v>265000</v>
      </c>
    </row>
    <row r="37" customFormat="false" ht="16.5" hidden="false" customHeight="true" outlineLevel="0" collapsed="false">
      <c r="A37" s="10" t="s">
        <v>36</v>
      </c>
      <c r="B37" s="12" t="n">
        <f aca="false">B35-B36</f>
        <v>355000</v>
      </c>
      <c r="C37" s="12" t="n">
        <f aca="false">C35-C36</f>
        <v>292000</v>
      </c>
      <c r="D37" s="12" t="n">
        <f aca="false">D35-D36</f>
        <v>215000</v>
      </c>
      <c r="E37" s="12" t="n">
        <f aca="false">E35-E36</f>
        <v>140000</v>
      </c>
      <c r="F37" s="12" t="n">
        <f aca="false">F35-F36</f>
        <v>55000</v>
      </c>
    </row>
    <row r="38" customFormat="false" ht="15.75" hidden="false" customHeight="false" outlineLevel="0" collapsed="false">
      <c r="A38" s="5"/>
      <c r="B38" s="7"/>
      <c r="C38" s="7"/>
      <c r="D38" s="7"/>
      <c r="E38" s="7"/>
      <c r="F38" s="7"/>
    </row>
    <row r="39" customFormat="false" ht="15.75" hidden="false" customHeight="false" outlineLevel="0" collapsed="false">
      <c r="A39" s="3" t="s">
        <v>37</v>
      </c>
      <c r="B39" s="4"/>
      <c r="C39" s="4"/>
      <c r="D39" s="4"/>
      <c r="E39" s="4"/>
      <c r="F39" s="4"/>
    </row>
    <row r="40" customFormat="false" ht="15.75" hidden="false" customHeight="false" outlineLevel="0" collapsed="false">
      <c r="A40" s="5" t="s">
        <v>38</v>
      </c>
      <c r="B40" s="6" t="n">
        <v>85000</v>
      </c>
      <c r="C40" s="6" t="n">
        <v>90000</v>
      </c>
      <c r="D40" s="6" t="n">
        <v>95000</v>
      </c>
      <c r="E40" s="6" t="n">
        <v>100000</v>
      </c>
      <c r="F40" s="6" t="n">
        <v>105000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H50"/>
  <sheetViews>
    <sheetView showFormulas="false" showGridLines="fals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1" activeCellId="0" sqref="A1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8" min="2" style="0" width="18.33"/>
  </cols>
  <sheetData>
    <row r="1" customFormat="false" ht="18" hidden="false" customHeight="true" outlineLevel="0" collapsed="false">
      <c r="A1" s="1" t="s">
        <v>39</v>
      </c>
      <c r="B1" s="14"/>
      <c r="C1" s="14"/>
      <c r="D1" s="14"/>
      <c r="E1" s="14"/>
      <c r="F1" s="14"/>
      <c r="G1" s="14"/>
      <c r="H1" s="14"/>
    </row>
    <row r="2" customFormat="false" ht="15.75" hidden="false" customHeight="false" outlineLevel="0" collapsed="false">
      <c r="A2" s="5"/>
      <c r="B2" s="5"/>
      <c r="C2" s="5"/>
      <c r="D2" s="5"/>
      <c r="E2" s="5"/>
      <c r="F2" s="5"/>
      <c r="G2" s="5"/>
      <c r="H2" s="5"/>
    </row>
    <row r="3" customFormat="false" ht="15.75" hidden="false" customHeight="false" outlineLevel="0" collapsed="false">
      <c r="A3" s="3" t="s">
        <v>40</v>
      </c>
      <c r="B3" s="3"/>
      <c r="C3" s="3"/>
      <c r="D3" s="3"/>
      <c r="E3" s="3"/>
      <c r="F3" s="3"/>
      <c r="G3" s="3"/>
      <c r="H3" s="3"/>
    </row>
    <row r="4" customFormat="false" ht="15.75" hidden="false" customHeight="false" outlineLevel="0" collapsed="false">
      <c r="A4" s="5" t="s">
        <v>41</v>
      </c>
      <c r="B4" s="15" t="n">
        <f aca="false">'Financial Summary'!F3</f>
        <v>2580000</v>
      </c>
      <c r="C4" s="5"/>
      <c r="D4" s="5"/>
      <c r="E4" s="5"/>
      <c r="F4" s="5"/>
      <c r="G4" s="5"/>
      <c r="H4" s="5"/>
    </row>
    <row r="5" customFormat="false" ht="15.75" hidden="false" customHeight="false" outlineLevel="0" collapsed="false">
      <c r="A5" s="5" t="s">
        <v>42</v>
      </c>
      <c r="B5" s="16" t="n">
        <f aca="false">'Financial Summary'!F25</f>
        <v>371100</v>
      </c>
      <c r="C5" s="5"/>
      <c r="D5" s="5"/>
      <c r="E5" s="5"/>
      <c r="F5" s="5"/>
      <c r="G5" s="5"/>
      <c r="H5" s="5"/>
    </row>
    <row r="6" customFormat="false" ht="15.75" hidden="false" customHeight="false" outlineLevel="0" collapsed="false">
      <c r="A6" s="5" t="s">
        <v>43</v>
      </c>
      <c r="B6" s="17" t="n">
        <v>0.07</v>
      </c>
      <c r="C6" s="5"/>
      <c r="D6" s="5"/>
      <c r="E6" s="5"/>
      <c r="F6" s="5"/>
      <c r="G6" s="5"/>
      <c r="H6" s="5"/>
    </row>
    <row r="7" customFormat="false" ht="15.75" hidden="false" customHeight="false" outlineLevel="0" collapsed="false">
      <c r="A7" s="5" t="s">
        <v>44</v>
      </c>
      <c r="B7" s="17" t="n">
        <v>0.145</v>
      </c>
      <c r="C7" s="5"/>
      <c r="D7" s="5"/>
      <c r="E7" s="5"/>
      <c r="F7" s="5"/>
      <c r="G7" s="5"/>
      <c r="H7" s="5"/>
    </row>
    <row r="8" customFormat="false" ht="15.75" hidden="false" customHeight="false" outlineLevel="0" collapsed="false">
      <c r="A8" s="5" t="s">
        <v>45</v>
      </c>
      <c r="B8" s="18" t="n">
        <v>0.25</v>
      </c>
      <c r="C8" s="5"/>
      <c r="D8" s="5"/>
      <c r="E8" s="5"/>
      <c r="F8" s="5"/>
      <c r="G8" s="5"/>
      <c r="H8" s="5"/>
    </row>
    <row r="9" customFormat="false" ht="15.75" hidden="false" customHeight="false" outlineLevel="0" collapsed="false">
      <c r="A9" s="5" t="s">
        <v>46</v>
      </c>
      <c r="B9" s="15" t="n">
        <f aca="false">'Financial Summary'!F27</f>
        <v>74000</v>
      </c>
      <c r="C9" s="5"/>
      <c r="D9" s="5"/>
      <c r="E9" s="5"/>
      <c r="F9" s="5"/>
      <c r="G9" s="5"/>
      <c r="H9" s="5"/>
    </row>
    <row r="10" customFormat="false" ht="15.75" hidden="false" customHeight="false" outlineLevel="0" collapsed="false">
      <c r="A10" s="5" t="s">
        <v>47</v>
      </c>
      <c r="B10" s="19" t="n">
        <v>15000</v>
      </c>
      <c r="C10" s="5"/>
      <c r="D10" s="5"/>
      <c r="E10" s="5"/>
      <c r="F10" s="5"/>
      <c r="G10" s="5"/>
      <c r="H10" s="5"/>
    </row>
    <row r="11" customFormat="false" ht="15.75" hidden="false" customHeight="false" outlineLevel="0" collapsed="false">
      <c r="A11" s="5" t="s">
        <v>48</v>
      </c>
      <c r="B11" s="15" t="n">
        <f aca="false">'Financial Summary'!F40</f>
        <v>105000</v>
      </c>
      <c r="C11" s="5"/>
      <c r="D11" s="5"/>
      <c r="E11" s="5"/>
      <c r="F11" s="5"/>
      <c r="G11" s="5"/>
      <c r="H11" s="5"/>
    </row>
    <row r="12" customFormat="false" ht="15.75" hidden="false" customHeight="false" outlineLevel="0" collapsed="false">
      <c r="A12" s="5" t="s">
        <v>49</v>
      </c>
      <c r="B12" s="17" t="n">
        <v>0.12</v>
      </c>
      <c r="C12" s="5"/>
      <c r="D12" s="5"/>
      <c r="E12" s="5"/>
      <c r="F12" s="5"/>
      <c r="G12" s="5"/>
      <c r="H12" s="5"/>
    </row>
    <row r="13" customFormat="false" ht="15.75" hidden="false" customHeight="false" outlineLevel="0" collapsed="false">
      <c r="A13" s="5" t="s">
        <v>50</v>
      </c>
      <c r="B13" s="17" t="n">
        <v>0.025</v>
      </c>
      <c r="C13" s="5"/>
      <c r="D13" s="5"/>
      <c r="E13" s="5"/>
      <c r="F13" s="5"/>
      <c r="G13" s="5"/>
      <c r="H13" s="5"/>
    </row>
    <row r="14" customFormat="false" ht="15.75" hidden="false" customHeight="false" outlineLevel="0" collapsed="false">
      <c r="A14" s="5" t="s">
        <v>51</v>
      </c>
      <c r="B14" s="20" t="n">
        <v>5</v>
      </c>
      <c r="C14" s="5"/>
      <c r="D14" s="5"/>
      <c r="E14" s="5"/>
      <c r="F14" s="5"/>
      <c r="G14" s="5"/>
      <c r="H14" s="5"/>
    </row>
    <row r="15" customFormat="false" ht="15.75" hidden="false" customHeight="false" outlineLevel="0" collapsed="false">
      <c r="A15" s="5" t="s">
        <v>34</v>
      </c>
      <c r="B15" s="15" t="n">
        <f aca="false">'Financial Summary'!F35</f>
        <v>320000</v>
      </c>
      <c r="C15" s="5"/>
      <c r="D15" s="5"/>
      <c r="E15" s="5"/>
      <c r="F15" s="5"/>
      <c r="G15" s="5"/>
      <c r="H15" s="5"/>
    </row>
    <row r="16" customFormat="false" ht="15.75" hidden="false" customHeight="false" outlineLevel="0" collapsed="false">
      <c r="A16" s="5" t="s">
        <v>35</v>
      </c>
      <c r="B16" s="21" t="n">
        <f aca="false">'Financial Summary'!F36</f>
        <v>265000</v>
      </c>
      <c r="C16" s="5"/>
      <c r="D16" s="5"/>
      <c r="E16" s="5"/>
      <c r="F16" s="5"/>
      <c r="G16" s="5"/>
      <c r="H16" s="5"/>
    </row>
    <row r="17" customFormat="false" ht="15.75" hidden="false" customHeight="false" outlineLevel="0" collapsed="false">
      <c r="A17" s="5"/>
      <c r="B17" s="5"/>
      <c r="C17" s="5"/>
      <c r="D17" s="5"/>
      <c r="E17" s="5"/>
      <c r="F17" s="5"/>
      <c r="G17" s="5"/>
      <c r="H17" s="5"/>
    </row>
    <row r="18" customFormat="false" ht="15.75" hidden="false" customHeight="false" outlineLevel="0" collapsed="false">
      <c r="A18" s="3" t="s">
        <v>52</v>
      </c>
      <c r="B18" s="3"/>
      <c r="C18" s="3"/>
      <c r="D18" s="3"/>
      <c r="E18" s="3"/>
      <c r="F18" s="3"/>
      <c r="G18" s="3"/>
      <c r="H18" s="3"/>
    </row>
    <row r="19" customFormat="false" ht="15.75" hidden="false" customHeight="false" outlineLevel="0" collapsed="false">
      <c r="A19" s="5"/>
      <c r="B19" s="22" t="s">
        <v>1</v>
      </c>
      <c r="C19" s="22" t="s">
        <v>2</v>
      </c>
      <c r="D19" s="22" t="s">
        <v>3</v>
      </c>
      <c r="E19" s="22" t="s">
        <v>4</v>
      </c>
      <c r="F19" s="22" t="s">
        <v>5</v>
      </c>
      <c r="G19" s="5"/>
      <c r="H19" s="5"/>
    </row>
    <row r="20" customFormat="false" ht="15.75" hidden="false" customHeight="false" outlineLevel="0" collapsed="false">
      <c r="A20" s="5" t="s">
        <v>53</v>
      </c>
      <c r="B20" s="23" t="n">
        <f aca="false">B4*(1+B6)^1</f>
        <v>2760600</v>
      </c>
      <c r="C20" s="23" t="n">
        <f aca="false">B4*(1+B6)^2</f>
        <v>2953842</v>
      </c>
      <c r="D20" s="23" t="n">
        <f aca="false">B4*(1+B6)^3</f>
        <v>3160610.94</v>
      </c>
      <c r="E20" s="23" t="n">
        <f aca="false">B4*(1+B6)^4</f>
        <v>3381853.7058</v>
      </c>
      <c r="F20" s="23" t="n">
        <f aca="false">B4*(1+B6)^5</f>
        <v>3618583.465206</v>
      </c>
      <c r="G20" s="5"/>
      <c r="H20" s="5"/>
    </row>
    <row r="21" customFormat="false" ht="15.75" hidden="false" customHeight="false" outlineLevel="0" collapsed="false">
      <c r="A21" s="5" t="s">
        <v>54</v>
      </c>
      <c r="B21" s="13" t="n">
        <f aca="false">B6</f>
        <v>0.07</v>
      </c>
      <c r="C21" s="13" t="n">
        <f aca="false">B6</f>
        <v>0.07</v>
      </c>
      <c r="D21" s="13" t="n">
        <f aca="false">B6</f>
        <v>0.07</v>
      </c>
      <c r="E21" s="13" t="n">
        <f aca="false">B6</f>
        <v>0.07</v>
      </c>
      <c r="F21" s="13" t="n">
        <f aca="false">B6</f>
        <v>0.07</v>
      </c>
      <c r="G21" s="5"/>
      <c r="H21" s="5"/>
    </row>
    <row r="22" customFormat="false" ht="15.75" hidden="false" customHeight="false" outlineLevel="0" collapsed="false">
      <c r="A22" s="5" t="s">
        <v>55</v>
      </c>
      <c r="B22" s="23" t="n">
        <f aca="false">B20*B7</f>
        <v>400287</v>
      </c>
      <c r="C22" s="23" t="n">
        <f aca="false">C20*B7</f>
        <v>428307.09</v>
      </c>
      <c r="D22" s="23" t="n">
        <f aca="false">D20*B7</f>
        <v>458288.5863</v>
      </c>
      <c r="E22" s="23" t="n">
        <f aca="false">E20*B7</f>
        <v>490368.787341</v>
      </c>
      <c r="F22" s="23" t="n">
        <f aca="false">F20*B7</f>
        <v>524694.60245487</v>
      </c>
      <c r="G22" s="5"/>
      <c r="H22" s="5"/>
    </row>
    <row r="23" customFormat="false" ht="15.75" hidden="false" customHeight="false" outlineLevel="0" collapsed="false">
      <c r="A23" s="5" t="s">
        <v>56</v>
      </c>
      <c r="B23" s="23" t="n">
        <f aca="false">(B22-B9)*B8</f>
        <v>81571.75</v>
      </c>
      <c r="C23" s="23" t="n">
        <f aca="false">(C22-B9)*B8</f>
        <v>88576.7725</v>
      </c>
      <c r="D23" s="23" t="n">
        <f aca="false">(D22-B9)*B8</f>
        <v>96072.146575</v>
      </c>
      <c r="E23" s="23" t="n">
        <f aca="false">(E22-B9)*B8</f>
        <v>104092.19683525</v>
      </c>
      <c r="F23" s="23" t="n">
        <f aca="false">(F22-B9)*B8</f>
        <v>112673.650613718</v>
      </c>
      <c r="G23" s="5"/>
      <c r="H23" s="5"/>
    </row>
    <row r="24" customFormat="false" ht="15.75" hidden="false" customHeight="false" outlineLevel="0" collapsed="false">
      <c r="A24" s="5" t="s">
        <v>57</v>
      </c>
      <c r="B24" s="23" t="n">
        <f aca="false">B9</f>
        <v>74000</v>
      </c>
      <c r="C24" s="23" t="n">
        <f aca="false">B9</f>
        <v>74000</v>
      </c>
      <c r="D24" s="23" t="n">
        <f aca="false">B9</f>
        <v>74000</v>
      </c>
      <c r="E24" s="23" t="n">
        <f aca="false">B9</f>
        <v>74000</v>
      </c>
      <c r="F24" s="23" t="n">
        <f aca="false">B9</f>
        <v>74000</v>
      </c>
      <c r="G24" s="5"/>
      <c r="H24" s="5"/>
    </row>
    <row r="25" customFormat="false" ht="15.75" hidden="false" customHeight="false" outlineLevel="0" collapsed="false">
      <c r="A25" s="5" t="s">
        <v>58</v>
      </c>
      <c r="B25" s="23" t="n">
        <f aca="false">B11</f>
        <v>105000</v>
      </c>
      <c r="C25" s="23" t="n">
        <f aca="false">B11</f>
        <v>105000</v>
      </c>
      <c r="D25" s="23" t="n">
        <f aca="false">B11</f>
        <v>105000</v>
      </c>
      <c r="E25" s="23" t="n">
        <f aca="false">B11</f>
        <v>105000</v>
      </c>
      <c r="F25" s="23" t="n">
        <f aca="false">B11</f>
        <v>105000</v>
      </c>
      <c r="G25" s="5"/>
      <c r="H25" s="5"/>
    </row>
    <row r="26" customFormat="false" ht="15.75" hidden="false" customHeight="false" outlineLevel="0" collapsed="false">
      <c r="A26" s="5" t="s">
        <v>59</v>
      </c>
      <c r="B26" s="23" t="n">
        <f aca="false">B10</f>
        <v>15000</v>
      </c>
      <c r="C26" s="23" t="n">
        <f aca="false">B10</f>
        <v>15000</v>
      </c>
      <c r="D26" s="23" t="n">
        <f aca="false">B10</f>
        <v>15000</v>
      </c>
      <c r="E26" s="23" t="n">
        <f aca="false">B10</f>
        <v>15000</v>
      </c>
      <c r="F26" s="23" t="n">
        <f aca="false">B10</f>
        <v>15000</v>
      </c>
      <c r="G26" s="5"/>
      <c r="H26" s="5"/>
    </row>
    <row r="27" customFormat="false" ht="16.5" hidden="false" customHeight="true" outlineLevel="0" collapsed="false">
      <c r="A27" s="10" t="s">
        <v>60</v>
      </c>
      <c r="B27" s="11" t="n">
        <f aca="false">B22-B23-B25-B26</f>
        <v>198715.25</v>
      </c>
      <c r="C27" s="11" t="n">
        <f aca="false">C22-C23-C25-C26</f>
        <v>219730.3175</v>
      </c>
      <c r="D27" s="11" t="n">
        <f aca="false">D22-D23-D25-D26</f>
        <v>242216.439725</v>
      </c>
      <c r="E27" s="11" t="n">
        <f aca="false">E22-E23-E25-E26</f>
        <v>266276.59050575</v>
      </c>
      <c r="F27" s="11" t="n">
        <f aca="false">F22-F23-F25-F26</f>
        <v>292020.951841153</v>
      </c>
      <c r="G27" s="5"/>
      <c r="H27" s="5"/>
    </row>
    <row r="28" customFormat="false" ht="15.75" hidden="false" customHeight="false" outlineLevel="0" collapsed="false">
      <c r="A28" s="5" t="s">
        <v>61</v>
      </c>
      <c r="B28" s="24" t="n">
        <f aca="false">1/(1+B12)^1</f>
        <v>0.892857142857143</v>
      </c>
      <c r="C28" s="24" t="n">
        <f aca="false">1/(1+B12)^2</f>
        <v>0.79719387755102</v>
      </c>
      <c r="D28" s="24" t="n">
        <f aca="false">1/(1+B12)^3</f>
        <v>0.711780247813411</v>
      </c>
      <c r="E28" s="24" t="n">
        <f aca="false">1/(1+B12)^4</f>
        <v>0.635518078404831</v>
      </c>
      <c r="F28" s="24" t="n">
        <f aca="false">1/(1+B12)^5</f>
        <v>0.567426855718599</v>
      </c>
      <c r="G28" s="5"/>
      <c r="H28" s="5"/>
    </row>
    <row r="29" customFormat="false" ht="16.5" hidden="false" customHeight="true" outlineLevel="0" collapsed="false">
      <c r="A29" s="10" t="s">
        <v>62</v>
      </c>
      <c r="B29" s="12" t="n">
        <f aca="false">B27*B28</f>
        <v>177424.330357143</v>
      </c>
      <c r="C29" s="12" t="n">
        <f aca="false">C27*C28</f>
        <v>175167.663823342</v>
      </c>
      <c r="D29" s="12" t="n">
        <f aca="false">D27*D28</f>
        <v>172404.877491943</v>
      </c>
      <c r="E29" s="12" t="n">
        <f aca="false">E27*E28</f>
        <v>169223.587122404</v>
      </c>
      <c r="F29" s="12" t="n">
        <f aca="false">F27*F28</f>
        <v>165700.530507178</v>
      </c>
      <c r="G29" s="5"/>
      <c r="H29" s="5"/>
    </row>
    <row r="30" customFormat="false" ht="15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</row>
    <row r="31" customFormat="false" ht="15.75" hidden="false" customHeight="false" outlineLevel="0" collapsed="false">
      <c r="A31" s="3" t="s">
        <v>63</v>
      </c>
      <c r="B31" s="3"/>
      <c r="C31" s="3"/>
      <c r="D31" s="3"/>
      <c r="E31" s="3"/>
      <c r="F31" s="3"/>
      <c r="G31" s="3"/>
      <c r="H31" s="3"/>
    </row>
    <row r="32" customFormat="false" ht="15.75" hidden="false" customHeight="false" outlineLevel="0" collapsed="false">
      <c r="A32" s="5"/>
      <c r="B32" s="5"/>
      <c r="C32" s="5"/>
      <c r="D32" s="5"/>
      <c r="E32" s="5"/>
      <c r="F32" s="5"/>
      <c r="G32" s="5"/>
      <c r="H32" s="5"/>
    </row>
    <row r="33" customFormat="false" ht="15.75" hidden="false" customHeight="false" outlineLevel="0" collapsed="false">
      <c r="A33" s="25" t="s">
        <v>64</v>
      </c>
      <c r="B33" s="5"/>
      <c r="C33" s="5"/>
      <c r="D33" s="5"/>
      <c r="E33" s="5"/>
      <c r="F33" s="5"/>
      <c r="G33" s="5"/>
      <c r="H33" s="5"/>
    </row>
    <row r="34" customFormat="false" ht="15.75" hidden="false" customHeight="false" outlineLevel="0" collapsed="false">
      <c r="A34" s="5" t="s">
        <v>65</v>
      </c>
      <c r="B34" s="26" t="n">
        <f aca="false">F27*(1+B13)</f>
        <v>299321.475637181</v>
      </c>
      <c r="C34" s="5"/>
      <c r="D34" s="5"/>
      <c r="E34" s="5"/>
      <c r="F34" s="5"/>
      <c r="G34" s="5"/>
      <c r="H34" s="5"/>
    </row>
    <row r="35" customFormat="false" ht="15.75" hidden="false" customHeight="false" outlineLevel="0" collapsed="false">
      <c r="A35" s="5" t="s">
        <v>66</v>
      </c>
      <c r="B35" s="26" t="n">
        <f aca="false">IF(B12-B13=0,0,B34/(B12-B13))</f>
        <v>3150752.37512823</v>
      </c>
      <c r="C35" s="5"/>
      <c r="D35" s="5"/>
      <c r="E35" s="5"/>
      <c r="F35" s="5"/>
      <c r="G35" s="5"/>
      <c r="H35" s="5"/>
    </row>
    <row r="36" customFormat="false" ht="16.5" hidden="false" customHeight="true" outlineLevel="0" collapsed="false">
      <c r="A36" s="10" t="s">
        <v>67</v>
      </c>
      <c r="B36" s="27" t="n">
        <f aca="false">B35/(1+B12)^5</f>
        <v>1787821.51336692</v>
      </c>
      <c r="C36" s="5"/>
      <c r="D36" s="5"/>
      <c r="E36" s="5"/>
      <c r="F36" s="5"/>
      <c r="G36" s="5"/>
      <c r="H36" s="5"/>
    </row>
    <row r="37" customFormat="false" ht="15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</row>
    <row r="38" customFormat="false" ht="15.75" hidden="false" customHeight="false" outlineLevel="0" collapsed="false">
      <c r="A38" s="25" t="s">
        <v>68</v>
      </c>
      <c r="B38" s="5"/>
      <c r="C38" s="5"/>
      <c r="D38" s="5"/>
      <c r="E38" s="5"/>
      <c r="F38" s="5"/>
      <c r="G38" s="5"/>
      <c r="H38" s="5"/>
    </row>
    <row r="39" customFormat="false" ht="15.75" hidden="false" customHeight="false" outlineLevel="0" collapsed="false">
      <c r="A39" s="5" t="s">
        <v>69</v>
      </c>
      <c r="B39" s="26" t="n">
        <f aca="false">F22</f>
        <v>524694.60245487</v>
      </c>
      <c r="C39" s="5"/>
      <c r="D39" s="5"/>
      <c r="E39" s="5"/>
      <c r="F39" s="5"/>
      <c r="G39" s="5"/>
      <c r="H39" s="5"/>
    </row>
    <row r="40" customFormat="false" ht="15.75" hidden="false" customHeight="false" outlineLevel="0" collapsed="false">
      <c r="A40" s="5" t="s">
        <v>70</v>
      </c>
      <c r="B40" s="26" t="n">
        <f aca="false">B39*B14</f>
        <v>2623473.01227435</v>
      </c>
      <c r="C40" s="5"/>
      <c r="D40" s="5"/>
      <c r="E40" s="5"/>
      <c r="F40" s="5"/>
      <c r="G40" s="5"/>
      <c r="H40" s="5"/>
    </row>
    <row r="41" customFormat="false" ht="16.5" hidden="false" customHeight="true" outlineLevel="0" collapsed="false">
      <c r="A41" s="10" t="s">
        <v>67</v>
      </c>
      <c r="B41" s="27" t="n">
        <f aca="false">B40/(1+B12)^5</f>
        <v>1488629.04241744</v>
      </c>
      <c r="C41" s="5"/>
      <c r="D41" s="5"/>
      <c r="E41" s="5"/>
      <c r="F41" s="5"/>
      <c r="G41" s="5"/>
      <c r="H41" s="5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5"/>
      <c r="G42" s="5"/>
      <c r="H42" s="5"/>
    </row>
    <row r="43" customFormat="false" ht="15.75" hidden="false" customHeight="false" outlineLevel="0" collapsed="false">
      <c r="A43" s="3" t="s">
        <v>71</v>
      </c>
      <c r="B43" s="3"/>
      <c r="C43" s="3"/>
      <c r="D43" s="3"/>
      <c r="E43" s="3"/>
      <c r="F43" s="3"/>
      <c r="G43" s="3"/>
      <c r="H43" s="3"/>
    </row>
    <row r="44" customFormat="false" ht="15.75" hidden="false" customHeight="false" outlineLevel="0" collapsed="false">
      <c r="A44" s="5"/>
      <c r="B44" s="22" t="s">
        <v>72</v>
      </c>
      <c r="C44" s="22" t="s">
        <v>73</v>
      </c>
      <c r="D44" s="5"/>
      <c r="E44" s="5"/>
      <c r="F44" s="5"/>
      <c r="G44" s="5"/>
      <c r="H44" s="5"/>
    </row>
    <row r="45" customFormat="false" ht="15.75" hidden="false" customHeight="false" outlineLevel="0" collapsed="false">
      <c r="A45" s="5" t="s">
        <v>74</v>
      </c>
      <c r="B45" s="23" t="n">
        <f aca="false">SUM(B29:F29)</f>
        <v>859920.989302009</v>
      </c>
      <c r="C45" s="23" t="n">
        <f aca="false">SUM(B29:F29)</f>
        <v>859920.989302009</v>
      </c>
      <c r="D45" s="5"/>
      <c r="E45" s="5"/>
      <c r="F45" s="5"/>
      <c r="G45" s="5"/>
      <c r="H45" s="5"/>
    </row>
    <row r="46" customFormat="false" ht="15.75" hidden="false" customHeight="false" outlineLevel="0" collapsed="false">
      <c r="A46" s="5" t="s">
        <v>75</v>
      </c>
      <c r="B46" s="23" t="n">
        <f aca="false">B36</f>
        <v>1787821.51336692</v>
      </c>
      <c r="C46" s="23" t="n">
        <f aca="false">B41</f>
        <v>1488629.04241744</v>
      </c>
      <c r="D46" s="5"/>
      <c r="E46" s="5"/>
      <c r="F46" s="5"/>
      <c r="G46" s="5"/>
      <c r="H46" s="5"/>
    </row>
    <row r="47" customFormat="false" ht="16.5" hidden="false" customHeight="true" outlineLevel="0" collapsed="false">
      <c r="A47" s="10" t="s">
        <v>76</v>
      </c>
      <c r="B47" s="28" t="n">
        <f aca="false">B45+B46</f>
        <v>2647742.50266893</v>
      </c>
      <c r="C47" s="28" t="n">
        <f aca="false">C45+C46</f>
        <v>2348550.03171945</v>
      </c>
      <c r="D47" s="5"/>
      <c r="E47" s="5"/>
      <c r="F47" s="5"/>
      <c r="G47" s="5"/>
      <c r="H47" s="5"/>
    </row>
    <row r="48" customFormat="false" ht="15.75" hidden="false" customHeight="false" outlineLevel="0" collapsed="false">
      <c r="A48" s="5" t="s">
        <v>77</v>
      </c>
      <c r="B48" s="23" t="n">
        <f aca="false">B15</f>
        <v>320000</v>
      </c>
      <c r="C48" s="23" t="n">
        <f aca="false">B15</f>
        <v>320000</v>
      </c>
      <c r="D48" s="5"/>
      <c r="E48" s="5"/>
      <c r="F48" s="5"/>
      <c r="G48" s="5"/>
      <c r="H48" s="5"/>
    </row>
    <row r="49" customFormat="false" ht="15.75" hidden="false" customHeight="false" outlineLevel="0" collapsed="false">
      <c r="A49" s="5" t="s">
        <v>78</v>
      </c>
      <c r="B49" s="23" t="n">
        <f aca="false">B16</f>
        <v>265000</v>
      </c>
      <c r="C49" s="23" t="n">
        <f aca="false">B16</f>
        <v>265000</v>
      </c>
      <c r="D49" s="5"/>
      <c r="E49" s="5"/>
      <c r="F49" s="5"/>
      <c r="G49" s="5"/>
      <c r="H49" s="5"/>
    </row>
    <row r="50" customFormat="false" ht="16.5" hidden="false" customHeight="true" outlineLevel="0" collapsed="false">
      <c r="A50" s="10" t="s">
        <v>79</v>
      </c>
      <c r="B50" s="28" t="n">
        <f aca="false">B47-B48+B49</f>
        <v>2592742.50266893</v>
      </c>
      <c r="C50" s="28" t="n">
        <f aca="false">C47-C48+C49</f>
        <v>2293550.03171945</v>
      </c>
      <c r="D50" s="5"/>
      <c r="E50" s="5"/>
      <c r="F50" s="5"/>
      <c r="G50" s="5"/>
      <c r="H50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A3A2A"/>
    <pageSetUpPr fitToPage="false"/>
  </sheetPr>
  <dimension ref="A1:E45"/>
  <sheetViews>
    <sheetView showFormulas="false" showGridLines="fals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E27" activeCellId="0" sqref="E27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5" min="2" style="0" width="18.33"/>
  </cols>
  <sheetData>
    <row r="1" customFormat="false" ht="18" hidden="false" customHeight="true" outlineLevel="0" collapsed="false">
      <c r="A1" s="1" t="s">
        <v>80</v>
      </c>
      <c r="B1" s="14"/>
      <c r="C1" s="14"/>
      <c r="D1" s="14"/>
      <c r="E1" s="14"/>
    </row>
    <row r="2" customFormat="false" ht="15.75" hidden="false" customHeight="false" outlineLevel="0" collapsed="false">
      <c r="A2" s="5"/>
      <c r="B2" s="5"/>
      <c r="C2" s="5"/>
      <c r="D2" s="5"/>
      <c r="E2" s="5"/>
    </row>
    <row r="3" customFormat="false" ht="15.75" hidden="false" customHeight="false" outlineLevel="0" collapsed="false">
      <c r="A3" s="3" t="s">
        <v>81</v>
      </c>
      <c r="B3" s="3"/>
      <c r="C3" s="3"/>
      <c r="D3" s="3"/>
      <c r="E3" s="3"/>
    </row>
    <row r="4" customFormat="false" ht="15.75" hidden="false" customHeight="false" outlineLevel="0" collapsed="false">
      <c r="A4" s="5" t="s">
        <v>82</v>
      </c>
      <c r="B4" s="15" t="n">
        <f aca="false">'Financial Summary'!F3</f>
        <v>2580000</v>
      </c>
      <c r="C4" s="5"/>
      <c r="D4" s="5"/>
      <c r="E4" s="5"/>
    </row>
    <row r="5" customFormat="false" ht="15.75" hidden="false" customHeight="false" outlineLevel="0" collapsed="false">
      <c r="A5" s="5" t="s">
        <v>55</v>
      </c>
      <c r="B5" s="15" t="n">
        <f aca="false">'Financial Summary'!F25</f>
        <v>371100</v>
      </c>
      <c r="C5" s="5"/>
      <c r="D5" s="5"/>
      <c r="E5" s="5"/>
    </row>
    <row r="6" customFormat="false" ht="15.75" hidden="false" customHeight="false" outlineLevel="0" collapsed="false">
      <c r="A6" s="5" t="s">
        <v>83</v>
      </c>
      <c r="B6" s="15" t="n">
        <f aca="false">'Financial Summary'!F30</f>
        <v>222100</v>
      </c>
      <c r="C6" s="5"/>
      <c r="D6" s="5"/>
      <c r="E6" s="5"/>
    </row>
    <row r="7" customFormat="false" ht="15.75" hidden="false" customHeight="false" outlineLevel="0" collapsed="false">
      <c r="A7" s="5"/>
      <c r="B7" s="5"/>
      <c r="C7" s="5"/>
      <c r="D7" s="5"/>
      <c r="E7" s="5"/>
    </row>
    <row r="8" customFormat="false" ht="15.75" hidden="false" customHeight="false" outlineLevel="0" collapsed="false">
      <c r="A8" s="3" t="s">
        <v>84</v>
      </c>
      <c r="B8" s="3"/>
      <c r="C8" s="3"/>
      <c r="D8" s="3"/>
      <c r="E8" s="3"/>
    </row>
    <row r="9" customFormat="false" ht="15.75" hidden="false" customHeight="false" outlineLevel="0" collapsed="false">
      <c r="A9" s="5"/>
      <c r="B9" s="22" t="s">
        <v>85</v>
      </c>
      <c r="C9" s="22" t="s">
        <v>86</v>
      </c>
      <c r="D9" s="22" t="s">
        <v>87</v>
      </c>
      <c r="E9" s="5"/>
    </row>
    <row r="10" customFormat="false" ht="15.75" hidden="false" customHeight="false" outlineLevel="0" collapsed="false">
      <c r="A10" s="5" t="s">
        <v>88</v>
      </c>
      <c r="B10" s="29" t="n">
        <v>0.6</v>
      </c>
      <c r="C10" s="29" t="n">
        <v>0.85</v>
      </c>
      <c r="D10" s="29" t="n">
        <v>1.1</v>
      </c>
      <c r="E10" s="5"/>
    </row>
    <row r="11" customFormat="false" ht="15.75" hidden="false" customHeight="false" outlineLevel="0" collapsed="false">
      <c r="A11" s="5" t="s">
        <v>89</v>
      </c>
      <c r="B11" s="30" t="n">
        <v>4</v>
      </c>
      <c r="C11" s="30" t="n">
        <v>5.5</v>
      </c>
      <c r="D11" s="30" t="n">
        <v>7</v>
      </c>
      <c r="E11" s="5"/>
    </row>
    <row r="12" customFormat="false" ht="15.75" hidden="false" customHeight="false" outlineLevel="0" collapsed="false">
      <c r="A12" s="5" t="s">
        <v>90</v>
      </c>
      <c r="B12" s="31" t="n">
        <v>8</v>
      </c>
      <c r="C12" s="31" t="n">
        <v>12</v>
      </c>
      <c r="D12" s="31" t="n">
        <v>16</v>
      </c>
      <c r="E12" s="5"/>
    </row>
    <row r="13" customFormat="false" ht="15.75" hidden="false" customHeight="false" outlineLevel="0" collapsed="false">
      <c r="A13" s="5"/>
      <c r="B13" s="5"/>
      <c r="C13" s="5"/>
      <c r="D13" s="5"/>
      <c r="E13" s="5"/>
    </row>
    <row r="14" customFormat="false" ht="15.75" hidden="false" customHeight="false" outlineLevel="0" collapsed="false">
      <c r="A14" s="3" t="s">
        <v>91</v>
      </c>
      <c r="B14" s="3"/>
      <c r="C14" s="3"/>
      <c r="D14" s="3"/>
      <c r="E14" s="3"/>
    </row>
    <row r="15" customFormat="false" ht="15.75" hidden="false" customHeight="false" outlineLevel="0" collapsed="false">
      <c r="A15" s="5"/>
      <c r="B15" s="22" t="s">
        <v>85</v>
      </c>
      <c r="C15" s="22" t="s">
        <v>86</v>
      </c>
      <c r="D15" s="22" t="s">
        <v>87</v>
      </c>
      <c r="E15" s="5"/>
    </row>
    <row r="16" customFormat="false" ht="15.75" hidden="false" customHeight="false" outlineLevel="0" collapsed="false">
      <c r="A16" s="5" t="s">
        <v>92</v>
      </c>
      <c r="B16" s="23" t="n">
        <f aca="false">B4*B10</f>
        <v>1548000</v>
      </c>
      <c r="C16" s="23" t="n">
        <f aca="false">B4*C10</f>
        <v>2193000</v>
      </c>
      <c r="D16" s="23" t="n">
        <f aca="false">B4*D10</f>
        <v>2838000</v>
      </c>
      <c r="E16" s="5"/>
    </row>
    <row r="17" customFormat="false" ht="15.75" hidden="false" customHeight="false" outlineLevel="0" collapsed="false">
      <c r="A17" s="5" t="s">
        <v>93</v>
      </c>
      <c r="B17" s="23" t="n">
        <f aca="false">B5*B11</f>
        <v>1484400</v>
      </c>
      <c r="C17" s="23" t="n">
        <f aca="false">B5*C11</f>
        <v>2041050</v>
      </c>
      <c r="D17" s="23" t="n">
        <f aca="false">B5*D11</f>
        <v>2597700</v>
      </c>
      <c r="E17" s="5"/>
    </row>
    <row r="18" customFormat="false" ht="15.75" hidden="false" customHeight="false" outlineLevel="0" collapsed="false">
      <c r="A18" s="5" t="s">
        <v>94</v>
      </c>
      <c r="B18" s="23" t="n">
        <f aca="false">B6*B12</f>
        <v>1776800</v>
      </c>
      <c r="C18" s="23" t="n">
        <f aca="false">B6*C12</f>
        <v>2665200</v>
      </c>
      <c r="D18" s="23" t="n">
        <f aca="false">B6*D12</f>
        <v>3553600</v>
      </c>
      <c r="E18" s="5"/>
    </row>
    <row r="19" customFormat="false" ht="15.75" hidden="false" customHeight="false" outlineLevel="0" collapsed="false">
      <c r="A19" s="5"/>
      <c r="B19" s="5"/>
      <c r="C19" s="5"/>
      <c r="D19" s="5"/>
      <c r="E19" s="5"/>
    </row>
    <row r="20" customFormat="false" ht="15.75" hidden="false" customHeight="false" outlineLevel="0" collapsed="false">
      <c r="A20" s="3" t="s">
        <v>95</v>
      </c>
      <c r="B20" s="3"/>
      <c r="C20" s="3"/>
      <c r="D20" s="3"/>
      <c r="E20" s="3"/>
    </row>
    <row r="21" customFormat="false" ht="15.75" hidden="false" customHeight="false" outlineLevel="0" collapsed="false">
      <c r="A21" s="5"/>
      <c r="B21" s="22" t="s">
        <v>85</v>
      </c>
      <c r="C21" s="22" t="s">
        <v>86</v>
      </c>
      <c r="D21" s="22" t="s">
        <v>87</v>
      </c>
      <c r="E21" s="5"/>
    </row>
    <row r="22" customFormat="false" ht="15.75" hidden="false" customHeight="false" outlineLevel="0" collapsed="false">
      <c r="A22" s="32" t="s">
        <v>96</v>
      </c>
      <c r="B22" s="5"/>
      <c r="C22" s="5"/>
      <c r="D22" s="5"/>
      <c r="E22" s="5"/>
    </row>
    <row r="23" customFormat="false" ht="15.75" hidden="false" customHeight="false" outlineLevel="0" collapsed="false">
      <c r="A23" s="5" t="s">
        <v>97</v>
      </c>
      <c r="B23" s="23" t="n">
        <f aca="false">B16</f>
        <v>1548000</v>
      </c>
      <c r="C23" s="23" t="n">
        <f aca="false">C16</f>
        <v>2193000</v>
      </c>
      <c r="D23" s="23" t="n">
        <f aca="false">D16</f>
        <v>2838000</v>
      </c>
      <c r="E23" s="5"/>
    </row>
    <row r="24" customFormat="false" ht="15.75" hidden="false" customHeight="false" outlineLevel="0" collapsed="false">
      <c r="A24" s="5" t="s">
        <v>98</v>
      </c>
      <c r="B24" s="33" t="n">
        <f aca="false">'Financial Summary'!F35</f>
        <v>320000</v>
      </c>
      <c r="C24" s="33" t="n">
        <f aca="false">'Financial Summary'!F35</f>
        <v>320000</v>
      </c>
      <c r="D24" s="33" t="n">
        <f aca="false">'Financial Summary'!F35</f>
        <v>320000</v>
      </c>
      <c r="E24" s="5"/>
    </row>
    <row r="25" customFormat="false" ht="15.75" hidden="false" customHeight="false" outlineLevel="0" collapsed="false">
      <c r="A25" s="5" t="s">
        <v>99</v>
      </c>
      <c r="B25" s="33" t="n">
        <f aca="false">'Financial Summary'!F36</f>
        <v>265000</v>
      </c>
      <c r="C25" s="33" t="n">
        <f aca="false">'Financial Summary'!F36</f>
        <v>265000</v>
      </c>
      <c r="D25" s="33" t="n">
        <f aca="false">'Financial Summary'!F36</f>
        <v>265000</v>
      </c>
      <c r="E25" s="5"/>
    </row>
    <row r="26" customFormat="false" ht="16.5" hidden="false" customHeight="true" outlineLevel="0" collapsed="false">
      <c r="A26" s="10" t="s">
        <v>100</v>
      </c>
      <c r="B26" s="12" t="n">
        <f aca="false">B23-B24+B25</f>
        <v>1493000</v>
      </c>
      <c r="C26" s="12" t="n">
        <f aca="false">C23-C24+C25</f>
        <v>2138000</v>
      </c>
      <c r="D26" s="12" t="n">
        <f aca="false">D23-D24+D25</f>
        <v>2783000</v>
      </c>
      <c r="E26" s="5"/>
    </row>
    <row r="27" customFormat="false" ht="15.75" hidden="false" customHeight="false" outlineLevel="0" collapsed="false">
      <c r="A27" s="5"/>
      <c r="B27" s="5"/>
      <c r="C27" s="5"/>
      <c r="D27" s="5"/>
      <c r="E27" s="5"/>
    </row>
    <row r="28" customFormat="false" ht="15.75" hidden="false" customHeight="false" outlineLevel="0" collapsed="false">
      <c r="A28" s="32" t="s">
        <v>101</v>
      </c>
      <c r="B28" s="5"/>
      <c r="C28" s="5"/>
      <c r="D28" s="5"/>
      <c r="E28" s="5"/>
    </row>
    <row r="29" customFormat="false" ht="15.75" hidden="false" customHeight="false" outlineLevel="0" collapsed="false">
      <c r="A29" s="5" t="s">
        <v>97</v>
      </c>
      <c r="B29" s="23" t="n">
        <f aca="false">B17</f>
        <v>1484400</v>
      </c>
      <c r="C29" s="23" t="n">
        <f aca="false">C17</f>
        <v>2041050</v>
      </c>
      <c r="D29" s="23" t="n">
        <f aca="false">D17</f>
        <v>2597700</v>
      </c>
      <c r="E29" s="5"/>
    </row>
    <row r="30" customFormat="false" ht="15.75" hidden="false" customHeight="false" outlineLevel="0" collapsed="false">
      <c r="A30" s="5" t="s">
        <v>98</v>
      </c>
      <c r="B30" s="33" t="n">
        <f aca="false">'Financial Summary'!F35</f>
        <v>320000</v>
      </c>
      <c r="C30" s="33" t="n">
        <f aca="false">'Financial Summary'!F35</f>
        <v>320000</v>
      </c>
      <c r="D30" s="33" t="n">
        <f aca="false">'Financial Summary'!F35</f>
        <v>320000</v>
      </c>
      <c r="E30" s="5"/>
    </row>
    <row r="31" customFormat="false" ht="15.75" hidden="false" customHeight="false" outlineLevel="0" collapsed="false">
      <c r="A31" s="5" t="s">
        <v>99</v>
      </c>
      <c r="B31" s="33" t="n">
        <f aca="false">'Financial Summary'!F36</f>
        <v>265000</v>
      </c>
      <c r="C31" s="33" t="n">
        <f aca="false">'Financial Summary'!F36</f>
        <v>265000</v>
      </c>
      <c r="D31" s="33" t="n">
        <f aca="false">'Financial Summary'!F36</f>
        <v>265000</v>
      </c>
      <c r="E31" s="5"/>
    </row>
    <row r="32" customFormat="false" ht="16.5" hidden="false" customHeight="true" outlineLevel="0" collapsed="false">
      <c r="A32" s="10" t="s">
        <v>100</v>
      </c>
      <c r="B32" s="12" t="n">
        <f aca="false">B29-B30+B31</f>
        <v>1429400</v>
      </c>
      <c r="C32" s="12" t="n">
        <f aca="false">C29-C30+C31</f>
        <v>1986050</v>
      </c>
      <c r="D32" s="12" t="n">
        <f aca="false">D29-D30+D31</f>
        <v>2542700</v>
      </c>
      <c r="E32" s="5"/>
    </row>
    <row r="33" customFormat="false" ht="15.75" hidden="false" customHeight="false" outlineLevel="0" collapsed="false">
      <c r="A33" s="5"/>
      <c r="B33" s="5"/>
      <c r="C33" s="5"/>
      <c r="D33" s="5"/>
      <c r="E33" s="5"/>
    </row>
    <row r="34" customFormat="false" ht="15.75" hidden="false" customHeight="false" outlineLevel="0" collapsed="false">
      <c r="A34" s="32" t="s">
        <v>102</v>
      </c>
      <c r="B34" s="5"/>
      <c r="C34" s="5"/>
      <c r="D34" s="5"/>
      <c r="E34" s="5"/>
    </row>
    <row r="35" customFormat="false" ht="16.5" hidden="false" customHeight="true" outlineLevel="0" collapsed="false">
      <c r="A35" s="10" t="s">
        <v>103</v>
      </c>
      <c r="B35" s="12" t="n">
        <f aca="false">B18</f>
        <v>1776800</v>
      </c>
      <c r="C35" s="12" t="n">
        <f aca="false">C18</f>
        <v>2665200</v>
      </c>
      <c r="D35" s="12" t="n">
        <f aca="false">D18</f>
        <v>3553600</v>
      </c>
      <c r="E35" s="5"/>
    </row>
    <row r="36" customFormat="false" ht="15.75" hidden="false" customHeight="false" outlineLevel="0" collapsed="false">
      <c r="A36" s="5"/>
      <c r="B36" s="5"/>
      <c r="C36" s="5"/>
      <c r="D36" s="5"/>
      <c r="E36" s="5"/>
    </row>
    <row r="37" customFormat="false" ht="15.75" hidden="false" customHeight="false" outlineLevel="0" collapsed="false">
      <c r="A37" s="3" t="s">
        <v>104</v>
      </c>
      <c r="B37" s="3"/>
      <c r="C37" s="3"/>
      <c r="D37" s="3"/>
      <c r="E37" s="3"/>
    </row>
    <row r="38" customFormat="false" ht="15.75" hidden="false" customHeight="false" outlineLevel="0" collapsed="false">
      <c r="A38" s="5"/>
      <c r="B38" s="22" t="s">
        <v>85</v>
      </c>
      <c r="C38" s="22" t="s">
        <v>86</v>
      </c>
      <c r="D38" s="22" t="s">
        <v>87</v>
      </c>
      <c r="E38" s="5"/>
    </row>
    <row r="39" customFormat="false" ht="15.75" hidden="false" customHeight="false" outlineLevel="0" collapsed="false">
      <c r="A39" s="5" t="s">
        <v>105</v>
      </c>
      <c r="B39" s="23" t="n">
        <f aca="false">B26</f>
        <v>1493000</v>
      </c>
      <c r="C39" s="23" t="n">
        <f aca="false">C26</f>
        <v>2138000</v>
      </c>
      <c r="D39" s="23" t="n">
        <f aca="false">D26</f>
        <v>2783000</v>
      </c>
      <c r="E39" s="5"/>
    </row>
    <row r="40" customFormat="false" ht="15.75" hidden="false" customHeight="false" outlineLevel="0" collapsed="false">
      <c r="A40" s="5" t="s">
        <v>106</v>
      </c>
      <c r="B40" s="23" t="n">
        <f aca="false">B32</f>
        <v>1429400</v>
      </c>
      <c r="C40" s="23" t="n">
        <f aca="false">C32</f>
        <v>1986050</v>
      </c>
      <c r="D40" s="23" t="n">
        <f aca="false">D32</f>
        <v>2542700</v>
      </c>
      <c r="E40" s="5"/>
    </row>
    <row r="41" customFormat="false" ht="15.75" hidden="false" customHeight="false" outlineLevel="0" collapsed="false">
      <c r="A41" s="5" t="s">
        <v>107</v>
      </c>
      <c r="B41" s="23" t="n">
        <f aca="false">B35</f>
        <v>1776800</v>
      </c>
      <c r="C41" s="23" t="n">
        <f aca="false">C35</f>
        <v>2665200</v>
      </c>
      <c r="D41" s="23" t="n">
        <f aca="false">D35</f>
        <v>3553600</v>
      </c>
      <c r="E41" s="5"/>
    </row>
    <row r="42" customFormat="false" ht="16.5" hidden="false" customHeight="true" outlineLevel="0" collapsed="false">
      <c r="A42" s="10" t="s">
        <v>108</v>
      </c>
      <c r="B42" s="12" t="n">
        <f aca="false">MIN(B39:B41)</f>
        <v>1429400</v>
      </c>
      <c r="C42" s="12" t="n">
        <f aca="false">AVERAGE(C39:C41)</f>
        <v>2263083.33333333</v>
      </c>
      <c r="D42" s="12" t="n">
        <f aca="false">MAX(D39:D41)</f>
        <v>3553600</v>
      </c>
      <c r="E42" s="5"/>
    </row>
    <row r="43" customFormat="false" ht="15.75" hidden="false" customHeight="false" outlineLevel="0" collapsed="false">
      <c r="A43" s="5"/>
      <c r="B43" s="5"/>
      <c r="C43" s="5"/>
      <c r="D43" s="5"/>
      <c r="E43" s="5"/>
    </row>
    <row r="44" customFormat="false" ht="15.75" hidden="false" customHeight="false" outlineLevel="0" collapsed="false">
      <c r="A44" s="5"/>
      <c r="B44" s="5"/>
      <c r="C44" s="5"/>
      <c r="D44" s="5"/>
      <c r="E44" s="5"/>
    </row>
    <row r="45" customFormat="false" ht="15.75" hidden="false" customHeight="false" outlineLevel="0" collapsed="false">
      <c r="A45" s="5"/>
      <c r="B45" s="5"/>
      <c r="C45" s="5"/>
      <c r="D45" s="5"/>
      <c r="E45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4D399"/>
    <pageSetUpPr fitToPage="false"/>
  </sheetPr>
  <dimension ref="A1:I55"/>
  <sheetViews>
    <sheetView showFormulas="false" showGridLines="false" showRowColHeaders="true" showZeros="true" rightToLeft="false" tabSelected="true" showOutlineSymbols="true" defaultGridColor="true" view="normal" topLeftCell="A21" colorId="64" zoomScale="100" zoomScaleNormal="100" zoomScalePageLayoutView="100" workbookViewId="0">
      <selection pane="topLeft" activeCell="E32" activeCellId="0" sqref="E32"/>
    </sheetView>
  </sheetViews>
  <sheetFormatPr defaultColWidth="10.69140625" defaultRowHeight="15.75" customHeight="false" zeroHeight="false" outlineLevelRow="0" outlineLevelCol="0"/>
  <cols>
    <col collapsed="false" customWidth="true" hidden="false" outlineLevel="0" max="1" min="1" style="0" width="41.66"/>
    <col collapsed="false" customWidth="true" hidden="false" outlineLevel="0" max="9" min="2" style="0" width="18.33"/>
  </cols>
  <sheetData>
    <row r="1" customFormat="false" ht="18" hidden="false" customHeight="true" outlineLevel="0" collapsed="false">
      <c r="A1" s="1" t="s">
        <v>109</v>
      </c>
      <c r="B1" s="14"/>
      <c r="C1" s="14"/>
      <c r="D1" s="14"/>
      <c r="E1" s="14"/>
      <c r="F1" s="14"/>
      <c r="G1" s="14"/>
      <c r="H1" s="14"/>
      <c r="I1" s="14"/>
    </row>
    <row r="2" customFormat="false" ht="15.7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</row>
    <row r="3" customFormat="false" ht="15.75" hidden="false" customHeight="false" outlineLevel="0" collapsed="false">
      <c r="A3" s="3" t="s">
        <v>110</v>
      </c>
      <c r="B3" s="3"/>
      <c r="C3" s="3"/>
      <c r="D3" s="3"/>
      <c r="E3" s="3"/>
      <c r="F3" s="3"/>
      <c r="G3" s="3"/>
      <c r="H3" s="3"/>
      <c r="I3" s="5"/>
    </row>
    <row r="4" customFormat="false" ht="15.75" hidden="false" customHeight="false" outlineLevel="0" collapsed="false">
      <c r="A4" s="32" t="s">
        <v>111</v>
      </c>
      <c r="B4" s="22" t="s">
        <v>85</v>
      </c>
      <c r="C4" s="22" t="s">
        <v>86</v>
      </c>
      <c r="D4" s="22" t="s">
        <v>87</v>
      </c>
      <c r="E4" s="5"/>
      <c r="F4" s="5"/>
      <c r="G4" s="5"/>
      <c r="H4" s="5"/>
      <c r="I4" s="5"/>
    </row>
    <row r="5" customFormat="false" ht="15.75" hidden="false" customHeight="false" outlineLevel="0" collapsed="false">
      <c r="A5" s="5" t="s">
        <v>112</v>
      </c>
      <c r="B5" s="33" t="n">
        <f aca="false">'DCF Valuation'!B50</f>
        <v>2592742.50266893</v>
      </c>
      <c r="C5" s="33" t="n">
        <f aca="false">'DCF Valuation'!B50</f>
        <v>2592742.50266893</v>
      </c>
      <c r="D5" s="33" t="n">
        <f aca="false">'DCF Valuation'!B50</f>
        <v>2592742.50266893</v>
      </c>
      <c r="E5" s="5"/>
      <c r="F5" s="5"/>
      <c r="G5" s="5"/>
      <c r="H5" s="5"/>
      <c r="I5" s="5"/>
    </row>
    <row r="6" customFormat="false" ht="15.75" hidden="false" customHeight="false" outlineLevel="0" collapsed="false">
      <c r="A6" s="5" t="s">
        <v>113</v>
      </c>
      <c r="B6" s="33" t="n">
        <f aca="false">'DCF Valuation'!C50</f>
        <v>2293550.03171945</v>
      </c>
      <c r="C6" s="33" t="n">
        <f aca="false">'DCF Valuation'!C50</f>
        <v>2293550.03171945</v>
      </c>
      <c r="D6" s="33" t="n">
        <f aca="false">'DCF Valuation'!C50</f>
        <v>2293550.03171945</v>
      </c>
      <c r="E6" s="5"/>
      <c r="F6" s="5"/>
      <c r="G6" s="5"/>
      <c r="H6" s="5"/>
      <c r="I6" s="5"/>
    </row>
    <row r="7" customFormat="false" ht="15.75" hidden="false" customHeight="false" outlineLevel="0" collapsed="false">
      <c r="A7" s="5" t="s">
        <v>114</v>
      </c>
      <c r="B7" s="33" t="n">
        <f aca="false">'Multiples Valuation'!B26</f>
        <v>1493000</v>
      </c>
      <c r="C7" s="33" t="n">
        <f aca="false">'Multiples Valuation'!C26</f>
        <v>2138000</v>
      </c>
      <c r="D7" s="33" t="n">
        <f aca="false">'Multiples Valuation'!D26</f>
        <v>2783000</v>
      </c>
      <c r="E7" s="5"/>
      <c r="F7" s="5"/>
      <c r="G7" s="5"/>
      <c r="H7" s="5"/>
      <c r="I7" s="5"/>
    </row>
    <row r="8" customFormat="false" ht="15.75" hidden="false" customHeight="false" outlineLevel="0" collapsed="false">
      <c r="A8" s="5" t="s">
        <v>115</v>
      </c>
      <c r="B8" s="33" t="n">
        <f aca="false">'Multiples Valuation'!B32</f>
        <v>1429400</v>
      </c>
      <c r="C8" s="33" t="n">
        <f aca="false">'Multiples Valuation'!C32</f>
        <v>1986050</v>
      </c>
      <c r="D8" s="33" t="n">
        <f aca="false">'Multiples Valuation'!D32</f>
        <v>2542700</v>
      </c>
      <c r="E8" s="5"/>
      <c r="F8" s="5"/>
      <c r="G8" s="5"/>
      <c r="H8" s="5"/>
      <c r="I8" s="5"/>
    </row>
    <row r="9" customFormat="false" ht="15.75" hidden="false" customHeight="false" outlineLevel="0" collapsed="false">
      <c r="A9" s="5" t="s">
        <v>116</v>
      </c>
      <c r="B9" s="33" t="n">
        <f aca="false">'Multiples Valuation'!B35</f>
        <v>1776800</v>
      </c>
      <c r="C9" s="33" t="n">
        <f aca="false">'Multiples Valuation'!C35</f>
        <v>2665200</v>
      </c>
      <c r="D9" s="33" t="n">
        <f aca="false">'Multiples Valuation'!D35</f>
        <v>3553600</v>
      </c>
      <c r="E9" s="5"/>
      <c r="F9" s="5"/>
      <c r="G9" s="5"/>
      <c r="H9" s="5"/>
      <c r="I9" s="5"/>
    </row>
    <row r="10" customFormat="false" ht="15.75" hidden="false" customHeight="false" outlineLevel="0" collapsed="false">
      <c r="A10" s="5"/>
      <c r="B10" s="5"/>
      <c r="C10" s="5"/>
      <c r="D10" s="5"/>
      <c r="E10" s="5"/>
      <c r="F10" s="5"/>
      <c r="G10" s="5"/>
      <c r="H10" s="5"/>
      <c r="I10" s="5"/>
    </row>
    <row r="11" customFormat="false" ht="15.75" hidden="false" customHeight="false" outlineLevel="0" collapsed="false">
      <c r="A11" s="3" t="s">
        <v>117</v>
      </c>
      <c r="B11" s="3"/>
      <c r="C11" s="3"/>
      <c r="D11" s="3"/>
      <c r="E11" s="3"/>
      <c r="F11" s="3"/>
      <c r="G11" s="3"/>
      <c r="H11" s="3"/>
      <c r="I11" s="5"/>
    </row>
    <row r="12" customFormat="false" ht="15.75" hidden="false" customHeight="false" outlineLevel="0" collapsed="false">
      <c r="A12" s="5"/>
      <c r="B12" s="22" t="s">
        <v>85</v>
      </c>
      <c r="C12" s="22" t="s">
        <v>86</v>
      </c>
      <c r="D12" s="22" t="s">
        <v>87</v>
      </c>
      <c r="E12" s="5"/>
      <c r="F12" s="5"/>
      <c r="G12" s="5"/>
      <c r="H12" s="5"/>
      <c r="I12" s="5"/>
    </row>
    <row r="13" customFormat="false" ht="16.5" hidden="false" customHeight="true" outlineLevel="0" collapsed="false">
      <c r="A13" s="10" t="s">
        <v>118</v>
      </c>
      <c r="B13" s="34" t="n">
        <f aca="false">MIN(B5:B9)</f>
        <v>1429400</v>
      </c>
      <c r="C13" s="34" t="n">
        <f aca="false">AVERAGE(C5:C9)</f>
        <v>2335108.50687767</v>
      </c>
      <c r="D13" s="34" t="n">
        <f aca="false">MAX(D5:D9)</f>
        <v>3553600</v>
      </c>
      <c r="E13" s="5"/>
      <c r="F13" s="5"/>
      <c r="G13" s="5"/>
      <c r="H13" s="5"/>
      <c r="I13" s="5"/>
    </row>
    <row r="14" customFormat="false" ht="15.75" hidden="false" customHeight="false" outlineLevel="0" collapsed="false">
      <c r="A14" s="5"/>
      <c r="B14" s="5"/>
      <c r="C14" s="5"/>
      <c r="D14" s="5"/>
      <c r="E14" s="5"/>
      <c r="F14" s="5"/>
      <c r="G14" s="5"/>
      <c r="H14" s="5"/>
      <c r="I14" s="5"/>
    </row>
    <row r="15" customFormat="false" ht="15.75" hidden="false" customHeight="false" outlineLevel="0" collapsed="false">
      <c r="A15" s="5"/>
      <c r="B15" s="5"/>
      <c r="C15" s="5"/>
      <c r="D15" s="5"/>
      <c r="E15" s="5"/>
      <c r="F15" s="5"/>
      <c r="G15" s="5"/>
      <c r="H15" s="5"/>
      <c r="I15" s="5"/>
    </row>
    <row r="16" customFormat="false" ht="15.75" hidden="false" customHeight="false" outlineLevel="0" collapsed="false">
      <c r="A16" s="3" t="s">
        <v>119</v>
      </c>
      <c r="B16" s="3"/>
      <c r="C16" s="3"/>
      <c r="D16" s="3"/>
      <c r="E16" s="3"/>
      <c r="F16" s="3"/>
      <c r="G16" s="3"/>
      <c r="H16" s="3"/>
      <c r="I16" s="5"/>
    </row>
    <row r="17" customFormat="false" ht="15.75" hidden="false" customHeight="false" outlineLevel="0" collapsed="false">
      <c r="A17" s="35" t="s">
        <v>120</v>
      </c>
      <c r="B17" s="36" t="n">
        <f aca="false">'DCF Valuation'!B13-0.015</f>
        <v>0.01</v>
      </c>
      <c r="C17" s="36" t="n">
        <f aca="false">'DCF Valuation'!B13-0.01</f>
        <v>0.015</v>
      </c>
      <c r="D17" s="36" t="n">
        <f aca="false">'DCF Valuation'!B13-0.005</f>
        <v>0.02</v>
      </c>
      <c r="E17" s="36" t="n">
        <f aca="false">'DCF Valuation'!B13+0</f>
        <v>0.025</v>
      </c>
      <c r="F17" s="36" t="n">
        <f aca="false">'DCF Valuation'!B13+0.005</f>
        <v>0.03</v>
      </c>
      <c r="G17" s="36" t="n">
        <f aca="false">'DCF Valuation'!B13+0.01</f>
        <v>0.035</v>
      </c>
      <c r="H17" s="36" t="n">
        <f aca="false">'DCF Valuation'!B13+0.015</f>
        <v>0.04</v>
      </c>
      <c r="I17" s="5"/>
    </row>
    <row r="18" customFormat="false" ht="15.75" hidden="false" customHeight="false" outlineLevel="0" collapsed="false">
      <c r="A18" s="37" t="n">
        <f aca="false">'DCF Valuation'!B12-0.015</f>
        <v>0.105</v>
      </c>
      <c r="B18" s="23" t="n">
        <f aca="false">('DCF Valuation'!B27/(1+A18)^1+'DCF Valuation'!C27/(1+A18)^2+'DCF Valuation'!D27/(1+A18)^3+'DCF Valuation'!E27/(1+A18)^4+'DCF Valuation'!F27/(1+A18)^5)+IF(A18-B17=0,0,('DCF Valuation'!F27*(1+B17)/(A18-B17))/(1+A18)^5)-'DCF Valuation'!B15+'DCF Valuation'!B16</f>
        <v>2724686.17737007</v>
      </c>
      <c r="C18" s="23" t="n">
        <f aca="false">('DCF Valuation'!B27/(1+A18)^1+'DCF Valuation'!C27/(1+A18)^2+'DCF Valuation'!D27/(1+A18)^3+'DCF Valuation'!E27/(1+A18)^4+'DCF Valuation'!F27/(1+A18)^5)+IF(A18-C17=0,0,('DCF Valuation'!F27*(1+C17)/(A18-C17))/(1+A18)^5)-'DCF Valuation'!B15+'DCF Valuation'!B16</f>
        <v>2839229.23966261</v>
      </c>
      <c r="D18" s="23" t="n">
        <f aca="false">('DCF Valuation'!B27/(1+A18)^1+'DCF Valuation'!C27/(1+A18)^2+'DCF Valuation'!D27/(1+A18)^3+'DCF Valuation'!E27/(1+A18)^4+'DCF Valuation'!F27/(1+A18)^5)+IF(A18-D17=0,0,('DCF Valuation'!F27*(1+D17)/(A18-D17))/(1+A18)^5)-'DCF Valuation'!B15+'DCF Valuation'!B16</f>
        <v>2967247.95634251</v>
      </c>
      <c r="E18" s="23" t="n">
        <f aca="false">('DCF Valuation'!B27/(1+A18)^1+'DCF Valuation'!C27/(1+A18)^2+'DCF Valuation'!D27/(1+A18)^3+'DCF Valuation'!E27/(1+A18)^4+'DCF Valuation'!F27/(1+A18)^5)+IF(A18-E17=0,0,('DCF Valuation'!F27*(1+E17)/(A18-E17))/(1+A18)^5)-'DCF Valuation'!B15+'DCF Valuation'!B16</f>
        <v>3111269.01260739</v>
      </c>
      <c r="F18" s="23" t="n">
        <f aca="false">('DCF Valuation'!B27/(1+A18)^1+'DCF Valuation'!C27/(1+A18)^2+'DCF Valuation'!D27/(1+A18)^3+'DCF Valuation'!E27/(1+A18)^4+'DCF Valuation'!F27/(1+A18)^5)+IF(A18-F17=0,0,('DCF Valuation'!F27*(1+F17)/(A18-F17))/(1+A18)^5)-'DCF Valuation'!B15+'DCF Valuation'!B16</f>
        <v>3274492.87637426</v>
      </c>
      <c r="G18" s="23" t="n">
        <f aca="false">('DCF Valuation'!B27/(1+A18)^1+'DCF Valuation'!C27/(1+A18)^2+'DCF Valuation'!D27/(1+A18)^3+'DCF Valuation'!E27/(1+A18)^4+'DCF Valuation'!F27/(1+A18)^5)+IF(A18-G17=0,0,('DCF Valuation'!F27*(1+G17)/(A18-G17))/(1+A18)^5)-'DCF Valuation'!B15+'DCF Valuation'!B16</f>
        <v>3461034.43496497</v>
      </c>
      <c r="H18" s="23" t="n">
        <f aca="false">('DCF Valuation'!B27/(1+A18)^1+'DCF Valuation'!C27/(1+A18)^2+'DCF Valuation'!D27/(1+A18)^3+'DCF Valuation'!E27/(1+A18)^4+'DCF Valuation'!F27/(1+A18)^5)+IF(A18-H17=0,0,('DCF Valuation'!F27*(1+H17)/(A18-H17))/(1+A18)^5)-'DCF Valuation'!B15+'DCF Valuation'!B16</f>
        <v>3676274.69487732</v>
      </c>
      <c r="I18" s="5"/>
    </row>
    <row r="19" customFormat="false" ht="15.75" hidden="false" customHeight="false" outlineLevel="0" collapsed="false">
      <c r="A19" s="37" t="n">
        <f aca="false">'DCF Valuation'!B12-0.01</f>
        <v>0.11</v>
      </c>
      <c r="B19" s="23" t="n">
        <f aca="false">('DCF Valuation'!B27/(1+A19)^1+'DCF Valuation'!C27/(1+A19)^2+'DCF Valuation'!D27/(1+A19)^3+'DCF Valuation'!E27/(1+A19)^4+'DCF Valuation'!F27/(1+A19)^5)+IF(A19-B17=0,0,('DCF Valuation'!F27*(1+B17)/(A19-B17))/(1+A19)^5)-'DCF Valuation'!B15+'DCF Valuation'!B16</f>
        <v>2578504.4744575</v>
      </c>
      <c r="C19" s="23" t="n">
        <f aca="false">('DCF Valuation'!B27/(1+A19)^1+'DCF Valuation'!C27/(1+A19)^2+'DCF Valuation'!D27/(1+A19)^3+'DCF Valuation'!E27/(1+A19)^4+'DCF Valuation'!F27/(1+A19)^5)+IF(A19-C17=0,0,('DCF Valuation'!F27*(1+C17)/(A19-C17))/(1+A19)^5)-'DCF Valuation'!B15+'DCF Valuation'!B16</f>
        <v>2679748.28818227</v>
      </c>
      <c r="D19" s="23" t="n">
        <f aca="false">('DCF Valuation'!B27/(1+A19)^1+'DCF Valuation'!C27/(1+A19)^2+'DCF Valuation'!D27/(1+A19)^3+'DCF Valuation'!E27/(1+A19)^4+'DCF Valuation'!F27/(1+A19)^5)+IF(A19-D17=0,0,('DCF Valuation'!F27*(1+D17)/(A19-D17))/(1+A19)^5)-'DCF Valuation'!B15+'DCF Valuation'!B16</f>
        <v>2792241.41454313</v>
      </c>
      <c r="E19" s="23" t="n">
        <f aca="false">('DCF Valuation'!B27/(1+A19)^1+'DCF Valuation'!C27/(1+A19)^2+'DCF Valuation'!D27/(1+A19)^3+'DCF Valuation'!E27/(1+A19)^4+'DCF Valuation'!F27/(1+A19)^5)+IF(A19-E17=0,0,('DCF Valuation'!F27*(1+E17)/(A19-E17))/(1+A19)^5)-'DCF Valuation'!B15+'DCF Valuation'!B16</f>
        <v>2917969.02635821</v>
      </c>
      <c r="F19" s="23" t="n">
        <f aca="false">('DCF Valuation'!B27/(1+A19)^1+'DCF Valuation'!C27/(1+A19)^2+'DCF Valuation'!D27/(1+A19)^3+'DCF Valuation'!E27/(1+A19)^4+'DCF Valuation'!F27/(1+A19)^5)+IF(A19-F17=0,0,('DCF Valuation'!F27*(1+F17)/(A19-F17))/(1+A19)^5)-'DCF Valuation'!B15+'DCF Valuation'!B16</f>
        <v>3059412.58965018</v>
      </c>
      <c r="G19" s="23" t="n">
        <f aca="false">('DCF Valuation'!B27/(1+A19)^1+'DCF Valuation'!C27/(1+A19)^2+'DCF Valuation'!D27/(1+A19)^3+'DCF Valuation'!E27/(1+A19)^4+'DCF Valuation'!F27/(1+A19)^5)+IF(A19-G17=0,0,('DCF Valuation'!F27*(1+G17)/(A19-G17))/(1+A19)^5)-'DCF Valuation'!B15+'DCF Valuation'!B16</f>
        <v>3219715.2947144</v>
      </c>
      <c r="H19" s="23" t="n">
        <f aca="false">('DCF Valuation'!B27/(1+A19)^1+'DCF Valuation'!C27/(1+A19)^2+'DCF Valuation'!D27/(1+A19)^3+'DCF Valuation'!E27/(1+A19)^4+'DCF Valuation'!F27/(1+A19)^5)+IF(A19-H17=0,0,('DCF Valuation'!F27*(1+H17)/(A19-H17))/(1+A19)^5)-'DCF Valuation'!B15+'DCF Valuation'!B16</f>
        <v>3402918.38621638</v>
      </c>
      <c r="I19" s="5"/>
    </row>
    <row r="20" customFormat="false" ht="15.75" hidden="false" customHeight="false" outlineLevel="0" collapsed="false">
      <c r="A20" s="37" t="n">
        <f aca="false">'DCF Valuation'!B12-0.005</f>
        <v>0.115</v>
      </c>
      <c r="B20" s="23" t="n">
        <f aca="false">('DCF Valuation'!B27/(1+A20)^1+'DCF Valuation'!C27/(1+A20)^2+'DCF Valuation'!D27/(1+A20)^3+'DCF Valuation'!E27/(1+A20)^4+'DCF Valuation'!F27/(1+A20)^5)+IF(A20-B17=0,0,('DCF Valuation'!F27*(1+B17)/(A20-B17))/(1+A20)^5)-'DCF Valuation'!B15+'DCF Valuation'!B16</f>
        <v>2446366.01571006</v>
      </c>
      <c r="C20" s="23" t="n">
        <f aca="false">('DCF Valuation'!B27/(1+A20)^1+'DCF Valuation'!C27/(1+A20)^2+'DCF Valuation'!D27/(1+A20)^3+'DCF Valuation'!E27/(1+A20)^4+'DCF Valuation'!F27/(1+A20)^5)+IF(A20-C17=0,0,('DCF Valuation'!F27*(1+C17)/(A20-C17))/(1+A20)^5)-'DCF Valuation'!B15+'DCF Valuation'!B16</f>
        <v>2536335.50349144</v>
      </c>
      <c r="D20" s="23" t="n">
        <f aca="false">('DCF Valuation'!B27/(1+A20)^1+'DCF Valuation'!C27/(1+A20)^2+'DCF Valuation'!D27/(1+A20)^3+'DCF Valuation'!E27/(1+A20)^4+'DCF Valuation'!F27/(1+A20)^5)+IF(A20-D17=0,0,('DCF Valuation'!F27*(1+D17)/(A20-D17))/(1+A20)^5)-'DCF Valuation'!B15+'DCF Valuation'!B16</f>
        <v>2635775.46367086</v>
      </c>
      <c r="E20" s="23" t="n">
        <f aca="false">('DCF Valuation'!B27/(1+A20)^1+'DCF Valuation'!C27/(1+A20)^2+'DCF Valuation'!D27/(1+A20)^3+'DCF Valuation'!E27/(1+A20)^4+'DCF Valuation'!F27/(1+A20)^5)+IF(A20-E17=0,0,('DCF Valuation'!F27*(1+E17)/(A20-E17))/(1+A20)^5)-'DCF Valuation'!B15+'DCF Valuation'!B16</f>
        <v>2746264.30831467</v>
      </c>
      <c r="F20" s="23" t="n">
        <f aca="false">('DCF Valuation'!B27/(1+A20)^1+'DCF Valuation'!C27/(1+A20)^2+'DCF Valuation'!D27/(1+A20)^3+'DCF Valuation'!E27/(1+A20)^4+'DCF Valuation'!F27/(1+A20)^5)+IF(A20-F17=0,0,('DCF Valuation'!F27*(1+F17)/(A20-F17))/(1+A20)^5)-'DCF Valuation'!B15+'DCF Valuation'!B16</f>
        <v>2869751.84056363</v>
      </c>
      <c r="G20" s="23" t="n">
        <f aca="false">('DCF Valuation'!B27/(1+A20)^1+'DCF Valuation'!C27/(1+A20)^2+'DCF Valuation'!D27/(1+A20)^3+'DCF Valuation'!E27/(1+A20)^4+'DCF Valuation'!F27/(1+A20)^5)+IF(A20-G17=0,0,('DCF Valuation'!F27*(1+G17)/(A20-G17))/(1+A20)^5)-'DCF Valuation'!B15+'DCF Valuation'!B16</f>
        <v>3008675.3143437</v>
      </c>
      <c r="H20" s="23" t="n">
        <f aca="false">('DCF Valuation'!B27/(1+A20)^1+'DCF Valuation'!C27/(1+A20)^2+'DCF Valuation'!D27/(1+A20)^3+'DCF Valuation'!E27/(1+A20)^4+'DCF Valuation'!F27/(1+A20)^5)+IF(A20-H17=0,0,('DCF Valuation'!F27*(1+H17)/(A20-H17))/(1+A20)^5)-'DCF Valuation'!B15+'DCF Valuation'!B16</f>
        <v>3166121.91796112</v>
      </c>
      <c r="I20" s="5"/>
    </row>
    <row r="21" customFormat="false" ht="15.75" hidden="false" customHeight="false" outlineLevel="0" collapsed="false">
      <c r="A21" s="37" t="n">
        <f aca="false">'DCF Valuation'!B12+0</f>
        <v>0.12</v>
      </c>
      <c r="B21" s="23" t="n">
        <f aca="false">('DCF Valuation'!B27/(1+A21)^1+'DCF Valuation'!C27/(1+A21)^2+'DCF Valuation'!D27/(1+A21)^3+'DCF Valuation'!E27/(1+A21)^4+'DCF Valuation'!F27/(1+A21)^5)+IF(A21-B17=0,0,('DCF Valuation'!F27*(1+B17)/(A21-B17))/(1+A21)^5)-'DCF Valuation'!B15+'DCF Valuation'!B16</f>
        <v>2326353.13304973</v>
      </c>
      <c r="C21" s="23" t="n">
        <f aca="false">('DCF Valuation'!B27/(1+A21)^1+'DCF Valuation'!C27/(1+A21)^2+'DCF Valuation'!D27/(1+A21)^3+'DCF Valuation'!E27/(1+A21)^4+'DCF Valuation'!F27/(1+A21)^5)+IF(A21-C17=0,0,('DCF Valuation'!F27*(1+C17)/(A21-C17))/(1+A21)^5)-'DCF Valuation'!B15+'DCF Valuation'!B16</f>
        <v>2406692.78420473</v>
      </c>
      <c r="D21" s="23" t="n">
        <f aca="false">('DCF Valuation'!B27/(1+A21)^1+'DCF Valuation'!C27/(1+A21)^2+'DCF Valuation'!D27/(1+A21)^3+'DCF Valuation'!E27/(1+A21)^4+'DCF Valuation'!F27/(1+A21)^5)+IF(A21-D17=0,0,('DCF Valuation'!F27*(1+D17)/(A21-D17))/(1+A21)^5)-'DCF Valuation'!B15+'DCF Valuation'!B16</f>
        <v>2495066.40047522</v>
      </c>
      <c r="E21" s="38" t="n">
        <f aca="false">('DCF Valuation'!B27/(1+A21)^1+'DCF Valuation'!C27/(1+A21)^2+'DCF Valuation'!D27/(1+A21)^3+'DCF Valuation'!E27/(1+A21)^4+'DCF Valuation'!F27/(1+A21)^5)+IF(A21-E17=0,0,('DCF Valuation'!F27*(1+E17)/(A21-E17))/(1+A21)^5)-'DCF Valuation'!B15+'DCF Valuation'!B16</f>
        <v>2592742.50266893</v>
      </c>
      <c r="F21" s="23" t="n">
        <f aca="false">('DCF Valuation'!B27/(1+A21)^1+'DCF Valuation'!C27/(1+A21)^2+'DCF Valuation'!D27/(1+A21)^3+'DCF Valuation'!E27/(1+A21)^4+'DCF Valuation'!F27/(1+A21)^5)+IF(A21-F17=0,0,('DCF Valuation'!F27*(1+F17)/(A21-F17))/(1+A21)^5)-'DCF Valuation'!B15+'DCF Valuation'!B16</f>
        <v>2701271.50510638</v>
      </c>
      <c r="G21" s="23" t="n">
        <f aca="false">('DCF Valuation'!B27/(1+A21)^1+'DCF Valuation'!C27/(1+A21)^2+'DCF Valuation'!D27/(1+A21)^3+'DCF Valuation'!E27/(1+A21)^4+'DCF Valuation'!F27/(1+A21)^5)+IF(A21-G17=0,0,('DCF Valuation'!F27*(1+G17)/(A21-G17))/(1+A21)^5)-'DCF Valuation'!B15+'DCF Valuation'!B16</f>
        <v>2822568.62547764</v>
      </c>
      <c r="H21" s="23" t="n">
        <f aca="false">('DCF Valuation'!B27/(1+A21)^1+'DCF Valuation'!C27/(1+A21)^2+'DCF Valuation'!D27/(1+A21)^3+'DCF Valuation'!E27/(1+A21)^4+'DCF Valuation'!F27/(1+A21)^5)+IF(A21-H17=0,0,('DCF Valuation'!F27*(1+H17)/(A21-H17))/(1+A21)^5)-'DCF Valuation'!B15+'DCF Valuation'!B16</f>
        <v>2959027.88589532</v>
      </c>
      <c r="I21" s="5"/>
    </row>
    <row r="22" customFormat="false" ht="15.75" hidden="false" customHeight="false" outlineLevel="0" collapsed="false">
      <c r="A22" s="37" t="n">
        <f aca="false">'DCF Valuation'!B12+0.005</f>
        <v>0.125</v>
      </c>
      <c r="B22" s="23" t="n">
        <f aca="false">('DCF Valuation'!B27/(1+A22)^1+'DCF Valuation'!C27/(1+A22)^2+'DCF Valuation'!D27/(1+A22)^3+'DCF Valuation'!E27/(1+A22)^4+'DCF Valuation'!F27/(1+A22)^5)+IF(A22-B17=0,0,('DCF Valuation'!F27*(1+B17)/(A22-B17))/(1+A22)^5)-'DCF Valuation'!B15+'DCF Valuation'!B16</f>
        <v>2216881.73810072</v>
      </c>
      <c r="C22" s="23" t="n">
        <f aca="false">('DCF Valuation'!B27/(1+A22)^1+'DCF Valuation'!C27/(1+A22)^2+'DCF Valuation'!D27/(1+A22)^3+'DCF Valuation'!E27/(1+A22)^4+'DCF Valuation'!F27/(1+A22)^5)+IF(A22-C17=0,0,('DCF Valuation'!F27*(1+C17)/(A22-C17))/(1+A22)^5)-'DCF Valuation'!B15+'DCF Valuation'!B16</f>
        <v>2288939.93675942</v>
      </c>
      <c r="D22" s="23" t="n">
        <f aca="false">('DCF Valuation'!B27/(1+A22)^1+'DCF Valuation'!C27/(1+A22)^2+'DCF Valuation'!D27/(1+A22)^3+'DCF Valuation'!E27/(1+A22)^4+'DCF Valuation'!F27/(1+A22)^5)+IF(A22-D17=0,0,('DCF Valuation'!F27*(1+D17)/(A22-D17))/(1+A22)^5)-'DCF Valuation'!B15+'DCF Valuation'!B16</f>
        <v>2367860.82100466</v>
      </c>
      <c r="E22" s="23" t="n">
        <f aca="false">('DCF Valuation'!B27/(1+A22)^1+'DCF Valuation'!C27/(1+A22)^2+'DCF Valuation'!D27/(1+A22)^3+'DCF Valuation'!E27/(1+A22)^4+'DCF Valuation'!F27/(1+A22)^5)+IF(A22-E17=0,0,('DCF Valuation'!F27*(1+E17)/(A22-E17))/(1+A22)^5)-'DCF Valuation'!B15+'DCF Valuation'!B16</f>
        <v>2454673.79367443</v>
      </c>
      <c r="F22" s="23" t="n">
        <f aca="false">('DCF Valuation'!B27/(1+A22)^1+'DCF Valuation'!C27/(1+A22)^2+'DCF Valuation'!D27/(1+A22)^3+'DCF Valuation'!E27/(1+A22)^4+'DCF Valuation'!F27/(1+A22)^5)+IF(A22-F17=0,0,('DCF Valuation'!F27*(1+F17)/(A22-F17))/(1+A22)^5)-'DCF Valuation'!B15+'DCF Valuation'!B16</f>
        <v>2550624.97399365</v>
      </c>
      <c r="G22" s="23" t="n">
        <f aca="false">('DCF Valuation'!B27/(1+A22)^1+'DCF Valuation'!C27/(1+A22)^2+'DCF Valuation'!D27/(1+A22)^3+'DCF Valuation'!E27/(1+A22)^4+'DCF Valuation'!F27/(1+A22)^5)+IF(A22-G17=0,0,('DCF Valuation'!F27*(1+G17)/(A22-G17))/(1+A22)^5)-'DCF Valuation'!B15+'DCF Valuation'!B16</f>
        <v>2657237.39657056</v>
      </c>
      <c r="H22" s="23" t="n">
        <f aca="false">('DCF Valuation'!B27/(1+A22)^1+'DCF Valuation'!C27/(1+A22)^2+'DCF Valuation'!D27/(1+A22)^3+'DCF Valuation'!E27/(1+A22)^4+'DCF Valuation'!F27/(1+A22)^5)+IF(A22-H17=0,0,('DCF Valuation'!F27*(1+H17)/(A22-H17))/(1+A22)^5)-'DCF Valuation'!B15+'DCF Valuation'!B16</f>
        <v>2776392.4570977</v>
      </c>
      <c r="I22" s="5"/>
    </row>
    <row r="23" customFormat="false" ht="15.75" hidden="false" customHeight="false" outlineLevel="0" collapsed="false">
      <c r="A23" s="37" t="n">
        <f aca="false">'DCF Valuation'!B12+0.01</f>
        <v>0.13</v>
      </c>
      <c r="B23" s="23" t="n">
        <f aca="false">('DCF Valuation'!B27/(1+A23)^1+'DCF Valuation'!C27/(1+A23)^2+'DCF Valuation'!D27/(1+A23)^3+'DCF Valuation'!E27/(1+A23)^4+'DCF Valuation'!F27/(1+A23)^5)+IF(A23-B17=0,0,('DCF Valuation'!F27*(1+B17)/(A23-B17))/(1+A23)^5)-'DCF Valuation'!B15+'DCF Valuation'!B16</f>
        <v>2116631.82414195</v>
      </c>
      <c r="C23" s="23" t="n">
        <f aca="false">('DCF Valuation'!B27/(1+A23)^1+'DCF Valuation'!C27/(1+A23)^2+'DCF Valuation'!D27/(1+A23)^3+'DCF Valuation'!E27/(1+A23)^4+'DCF Valuation'!F27/(1+A23)^5)+IF(A23-C17=0,0,('DCF Valuation'!F27*(1+C17)/(A23-C17))/(1+A23)^5)-'DCF Valuation'!B15+'DCF Valuation'!B16</f>
        <v>2181523.82364881</v>
      </c>
      <c r="D23" s="23" t="n">
        <f aca="false">('DCF Valuation'!B27/(1+A23)^1+'DCF Valuation'!C27/(1+A23)^2+'DCF Valuation'!D27/(1+A23)^3+'DCF Valuation'!E27/(1+A23)^4+'DCF Valuation'!F27/(1+A23)^5)+IF(A23-D17=0,0,('DCF Valuation'!F27*(1+D17)/(A23-D17))/(1+A23)^5)-'DCF Valuation'!B15+'DCF Valuation'!B16</f>
        <v>2252315.09583811</v>
      </c>
      <c r="E23" s="23" t="n">
        <f aca="false">('DCF Valuation'!B27/(1+A23)^1+'DCF Valuation'!C27/(1+A23)^2+'DCF Valuation'!D27/(1+A23)^3+'DCF Valuation'!E27/(1+A23)^4+'DCF Valuation'!F27/(1+A23)^5)+IF(A23-E17=0,0,('DCF Valuation'!F27*(1+E17)/(A23-E17))/(1+A23)^5)-'DCF Valuation'!B15+'DCF Valuation'!B16</f>
        <v>2329848.39395021</v>
      </c>
      <c r="F23" s="23" t="n">
        <f aca="false">('DCF Valuation'!B27/(1+A23)^1+'DCF Valuation'!C27/(1+A23)^2+'DCF Valuation'!D27/(1+A23)^3+'DCF Valuation'!E27/(1+A23)^4+'DCF Valuation'!F27/(1+A23)^5)+IF(A23-F17=0,0,('DCF Valuation'!F27*(1+F17)/(A23-F17))/(1+A23)^5)-'DCF Valuation'!B15+'DCF Valuation'!B16</f>
        <v>2415135.02187351</v>
      </c>
      <c r="G23" s="23" t="n">
        <f aca="false">('DCF Valuation'!B27/(1+A23)^1+'DCF Valuation'!C27/(1+A23)^2+'DCF Valuation'!D27/(1+A23)^3+'DCF Valuation'!E27/(1+A23)^4+'DCF Valuation'!F27/(1+A23)^5)+IF(A23-G17=0,0,('DCF Valuation'!F27*(1+G17)/(A23-G17))/(1+A23)^5)-'DCF Valuation'!B15+'DCF Valuation'!B16</f>
        <v>2509399.18957821</v>
      </c>
      <c r="H23" s="23" t="n">
        <f aca="false">('DCF Valuation'!B27/(1+A23)^1+'DCF Valuation'!C27/(1+A23)^2+'DCF Valuation'!D27/(1+A23)^3+'DCF Valuation'!E27/(1+A23)^4+'DCF Valuation'!F27/(1+A23)^5)+IF(A23-H17=0,0,('DCF Valuation'!F27*(1+H17)/(A23-H17))/(1+A23)^5)-'DCF Valuation'!B15+'DCF Valuation'!B16</f>
        <v>2614137.15369455</v>
      </c>
      <c r="I23" s="5"/>
    </row>
    <row r="24" customFormat="false" ht="15.75" hidden="false" customHeight="false" outlineLevel="0" collapsed="false">
      <c r="A24" s="37" t="n">
        <f aca="false">'DCF Valuation'!B12+0.015</f>
        <v>0.135</v>
      </c>
      <c r="B24" s="23" t="n">
        <f aca="false">('DCF Valuation'!B27/(1+A24)^1+'DCF Valuation'!C27/(1+A24)^2+'DCF Valuation'!D27/(1+A24)^3+'DCF Valuation'!E27/(1+A24)^4+'DCF Valuation'!F27/(1+A24)^5)+IF(A24-B17=0,0,('DCF Valuation'!F27*(1+B17)/(A24-B17))/(1+A24)^5)-'DCF Valuation'!B15+'DCF Valuation'!B16</f>
        <v>2024494.64767288</v>
      </c>
      <c r="C24" s="23" t="n">
        <f aca="false">('DCF Valuation'!B27/(1+A24)^1+'DCF Valuation'!C27/(1+A24)^2+'DCF Valuation'!D27/(1+A24)^3+'DCF Valuation'!E27/(1+A24)^4+'DCF Valuation'!F27/(1+A24)^5)+IF(A24-C17=0,0,('DCF Valuation'!F27*(1+C17)/(A24-C17))/(1+A24)^5)-'DCF Valuation'!B15+'DCF Valuation'!B16</f>
        <v>2083150.2246776</v>
      </c>
      <c r="D24" s="23" t="n">
        <f aca="false">('DCF Valuation'!B27/(1+A24)^1+'DCF Valuation'!C27/(1+A24)^2+'DCF Valuation'!D27/(1+A24)^3+'DCF Valuation'!E27/(1+A24)^4+'DCF Valuation'!F27/(1+A24)^5)+IF(A24-D17=0,0,('DCF Valuation'!F27*(1+D17)/(A24-D17))/(1+A24)^5)-'DCF Valuation'!B15+'DCF Valuation'!B16</f>
        <v>2146906.28663925</v>
      </c>
      <c r="E24" s="23" t="n">
        <f aca="false">('DCF Valuation'!B27/(1+A24)^1+'DCF Valuation'!C27/(1+A24)^2+'DCF Valuation'!D27/(1+A24)^3+'DCF Valuation'!E27/(1+A24)^4+'DCF Valuation'!F27/(1+A24)^5)+IF(A24-E17=0,0,('DCF Valuation'!F27*(1+E17)/(A24-E17))/(1+A24)^5)-'DCF Valuation'!B15+'DCF Valuation'!B16</f>
        <v>2216458.35423378</v>
      </c>
      <c r="F24" s="23" t="n">
        <f aca="false">('DCF Valuation'!B27/(1+A24)^1+'DCF Valuation'!C27/(1+A24)^2+'DCF Valuation'!D27/(1+A24)^3+'DCF Valuation'!E27/(1+A24)^4+'DCF Valuation'!F27/(1+A24)^5)+IF(A24-F17=0,0,('DCF Valuation'!F27*(1+F17)/(A24-F17))/(1+A24)^5)-'DCF Valuation'!B15+'DCF Valuation'!B16</f>
        <v>2292634.42826588</v>
      </c>
      <c r="G24" s="23" t="n">
        <f aca="false">('DCF Valuation'!B27/(1+A24)^1+'DCF Valuation'!C27/(1+A24)^2+'DCF Valuation'!D27/(1+A24)^3+'DCF Valuation'!E27/(1+A24)^4+'DCF Valuation'!F27/(1+A24)^5)+IF(A24-G17=0,0,('DCF Valuation'!F27*(1+G17)/(A24-G17))/(1+A24)^5)-'DCF Valuation'!B15+'DCF Valuation'!B16</f>
        <v>2376428.10970119</v>
      </c>
      <c r="H24" s="23" t="n">
        <f aca="false">('DCF Valuation'!B27/(1+A24)^1+'DCF Valuation'!C27/(1+A24)^2+'DCF Valuation'!D27/(1+A24)^3+'DCF Valuation'!E27/(1+A24)^4+'DCF Valuation'!F27/(1+A24)^5)+IF(A24-H17=0,0,('DCF Valuation'!F27*(1+H17)/(A24-H17))/(1+A24)^5)-'DCF Valuation'!B15+'DCF Valuation'!B16</f>
        <v>2469042.178656</v>
      </c>
      <c r="I24" s="5"/>
    </row>
    <row r="25" customFormat="false" ht="15.75" hidden="false" customHeight="false" outlineLevel="0" collapsed="false">
      <c r="A25" s="5"/>
      <c r="B25" s="5"/>
      <c r="C25" s="5"/>
      <c r="D25" s="5"/>
      <c r="E25" s="5"/>
      <c r="F25" s="5"/>
      <c r="G25" s="5"/>
      <c r="H25" s="5"/>
      <c r="I25" s="5"/>
    </row>
    <row r="26" customFormat="false" ht="15.75" hidden="false" customHeight="false" outlineLevel="0" collapsed="false">
      <c r="A26" s="5"/>
      <c r="B26" s="5"/>
      <c r="C26" s="5"/>
      <c r="D26" s="5"/>
      <c r="E26" s="5"/>
      <c r="F26" s="5"/>
      <c r="G26" s="5"/>
      <c r="H26" s="5"/>
      <c r="I26" s="5"/>
    </row>
    <row r="27" customFormat="false" ht="15.75" hidden="false" customHeight="false" outlineLevel="0" collapsed="false">
      <c r="A27" s="3" t="s">
        <v>121</v>
      </c>
      <c r="B27" s="3"/>
      <c r="C27" s="3"/>
      <c r="D27" s="3"/>
      <c r="E27" s="3"/>
      <c r="F27" s="3"/>
      <c r="G27" s="3"/>
      <c r="H27" s="3"/>
      <c r="I27" s="5"/>
    </row>
    <row r="28" customFormat="false" ht="15.75" hidden="false" customHeight="false" outlineLevel="0" collapsed="false">
      <c r="A28" s="35" t="s">
        <v>122</v>
      </c>
      <c r="B28" s="39" t="n">
        <f aca="false">'DCF Valuation'!B14-3</f>
        <v>2</v>
      </c>
      <c r="C28" s="39" t="n">
        <f aca="false">'DCF Valuation'!B14-2</f>
        <v>3</v>
      </c>
      <c r="D28" s="39" t="n">
        <f aca="false">'DCF Valuation'!B14-1</f>
        <v>4</v>
      </c>
      <c r="E28" s="39" t="n">
        <f aca="false">'DCF Valuation'!B14+0</f>
        <v>5</v>
      </c>
      <c r="F28" s="39" t="n">
        <f aca="false">'DCF Valuation'!B14+1</f>
        <v>6</v>
      </c>
      <c r="G28" s="39" t="n">
        <f aca="false">'DCF Valuation'!B14+2</f>
        <v>7</v>
      </c>
      <c r="H28" s="39" t="n">
        <f aca="false">'DCF Valuation'!B14+3</f>
        <v>8</v>
      </c>
      <c r="I28" s="5"/>
    </row>
    <row r="29" customFormat="false" ht="15.75" hidden="false" customHeight="false" outlineLevel="0" collapsed="false">
      <c r="A29" s="37" t="n">
        <f aca="false">'DCF Valuation'!B12-0.015</f>
        <v>0.105</v>
      </c>
      <c r="B29" s="23" t="n">
        <f aca="false">('DCF Valuation'!B27/(1+A29)^1+'DCF Valuation'!C27/(1+A29)^2+'DCF Valuation'!D27/(1+A29)^3+'DCF Valuation'!E27/(1+A29)^4+'DCF Valuation'!F27/(1+A29)^5)+('DCF Valuation'!F22*B28)/(1+A29)^5-'DCF Valuation'!B15+'DCF Valuation'!B16</f>
        <v>1477146.86905034</v>
      </c>
      <c r="C29" s="23" t="n">
        <f aca="false">('DCF Valuation'!B27/(1+A29)^1+'DCF Valuation'!C27/(1+A29)^2+'DCF Valuation'!D27/(1+A29)^3+'DCF Valuation'!E27/(1+A29)^4+'DCF Valuation'!F27/(1+A29)^5)+('DCF Valuation'!F22*C28)/(1+A29)^5-'DCF Valuation'!B15+'DCF Valuation'!B16</f>
        <v>1795636.43320648</v>
      </c>
      <c r="D29" s="23" t="n">
        <f aca="false">('DCF Valuation'!B27/(1+A29)^1+'DCF Valuation'!C27/(1+A29)^2+'DCF Valuation'!D27/(1+A29)^3+'DCF Valuation'!E27/(1+A29)^4+'DCF Valuation'!F27/(1+A29)^5)+('DCF Valuation'!F22*D28)/(1+A29)^5-'DCF Valuation'!B15+'DCF Valuation'!B16</f>
        <v>2114125.99736262</v>
      </c>
      <c r="E29" s="23" t="n">
        <f aca="false">('DCF Valuation'!B27/(1+A29)^1+'DCF Valuation'!C27/(1+A29)^2+'DCF Valuation'!D27/(1+A29)^3+'DCF Valuation'!E27/(1+A29)^4+'DCF Valuation'!F27/(1+A29)^5)+('DCF Valuation'!F22*E28)/(1+A29)^5-'DCF Valuation'!B15+'DCF Valuation'!B16</f>
        <v>2432615.56151875</v>
      </c>
      <c r="F29" s="23" t="n">
        <f aca="false">('DCF Valuation'!B27/(1+A29)^1+'DCF Valuation'!C27/(1+A29)^2+'DCF Valuation'!D27/(1+A29)^3+'DCF Valuation'!E27/(1+A29)^4+'DCF Valuation'!F27/(1+A29)^5)+('DCF Valuation'!F22*F28)/(1+A29)^5-'DCF Valuation'!B15+'DCF Valuation'!B16</f>
        <v>2751105.12567489</v>
      </c>
      <c r="G29" s="23" t="n">
        <f aca="false">('DCF Valuation'!B27/(1+A29)^1+'DCF Valuation'!C27/(1+A29)^2+'DCF Valuation'!D27/(1+A29)^3+'DCF Valuation'!E27/(1+A29)^4+'DCF Valuation'!F27/(1+A29)^5)+('DCF Valuation'!F22*G28)/(1+A29)^5-'DCF Valuation'!B15+'DCF Valuation'!B16</f>
        <v>3069594.68983103</v>
      </c>
      <c r="H29" s="23" t="n">
        <f aca="false">('DCF Valuation'!B27/(1+A29)^1+'DCF Valuation'!C27/(1+A29)^2+'DCF Valuation'!D27/(1+A29)^3+'DCF Valuation'!E27/(1+A29)^4+'DCF Valuation'!F27/(1+A29)^5)+('DCF Valuation'!F22*H28)/(1+A29)^5-'DCF Valuation'!B15+'DCF Valuation'!B16</f>
        <v>3388084.25398717</v>
      </c>
      <c r="I29" s="5"/>
    </row>
    <row r="30" customFormat="false" ht="15.75" hidden="false" customHeight="false" outlineLevel="0" collapsed="false">
      <c r="A30" s="37" t="n">
        <f aca="false">'DCF Valuation'!B12-0.01</f>
        <v>0.11</v>
      </c>
      <c r="B30" s="23" t="n">
        <f aca="false">('DCF Valuation'!B27/(1+A30)^1+'DCF Valuation'!C27/(1+A30)^2+'DCF Valuation'!D27/(1+A30)^3+'DCF Valuation'!E27/(1+A30)^4+'DCF Valuation'!F27/(1+A30)^5)+('DCF Valuation'!F22*B28)/(1+A30)^5-'DCF Valuation'!B15+'DCF Valuation'!B16</f>
        <v>1450933.65268183</v>
      </c>
      <c r="C30" s="23" t="n">
        <f aca="false">('DCF Valuation'!B27/(1+A30)^1+'DCF Valuation'!C27/(1+A30)^2+'DCF Valuation'!D27/(1+A30)^3+'DCF Valuation'!E27/(1+A30)^4+'DCF Valuation'!F27/(1+A30)^5)+('DCF Valuation'!F22*C28)/(1+A30)^5-'DCF Valuation'!B15+'DCF Valuation'!B16</f>
        <v>1762314.36133383</v>
      </c>
      <c r="D30" s="23" t="n">
        <f aca="false">('DCF Valuation'!B27/(1+A30)^1+'DCF Valuation'!C27/(1+A30)^2+'DCF Valuation'!D27/(1+A30)^3+'DCF Valuation'!E27/(1+A30)^4+'DCF Valuation'!F27/(1+A30)^5)+('DCF Valuation'!F22*D28)/(1+A30)^5-'DCF Valuation'!B15+'DCF Valuation'!B16</f>
        <v>2073695.06998583</v>
      </c>
      <c r="E30" s="23" t="n">
        <f aca="false">('DCF Valuation'!B27/(1+A30)^1+'DCF Valuation'!C27/(1+A30)^2+'DCF Valuation'!D27/(1+A30)^3+'DCF Valuation'!E27/(1+A30)^4+'DCF Valuation'!F27/(1+A30)^5)+('DCF Valuation'!F22*E28)/(1+A30)^5-'DCF Valuation'!B15+'DCF Valuation'!B16</f>
        <v>2385075.77863783</v>
      </c>
      <c r="F30" s="23" t="n">
        <f aca="false">('DCF Valuation'!B27/(1+A30)^1+'DCF Valuation'!C27/(1+A30)^2+'DCF Valuation'!D27/(1+A30)^3+'DCF Valuation'!E27/(1+A30)^4+'DCF Valuation'!F27/(1+A30)^5)+('DCF Valuation'!F22*F28)/(1+A30)^5-'DCF Valuation'!B15+'DCF Valuation'!B16</f>
        <v>2696456.48728983</v>
      </c>
      <c r="G30" s="23" t="n">
        <f aca="false">('DCF Valuation'!B27/(1+A30)^1+'DCF Valuation'!C27/(1+A30)^2+'DCF Valuation'!D27/(1+A30)^3+'DCF Valuation'!E27/(1+A30)^4+'DCF Valuation'!F27/(1+A30)^5)+('DCF Valuation'!F22*G28)/(1+A30)^5-'DCF Valuation'!B15+'DCF Valuation'!B16</f>
        <v>3007837.19594183</v>
      </c>
      <c r="H30" s="23" t="n">
        <f aca="false">('DCF Valuation'!B27/(1+A30)^1+'DCF Valuation'!C27/(1+A30)^2+'DCF Valuation'!D27/(1+A30)^3+'DCF Valuation'!E27/(1+A30)^4+'DCF Valuation'!F27/(1+A30)^5)+('DCF Valuation'!F22*H28)/(1+A30)^5-'DCF Valuation'!B15+'DCF Valuation'!B16</f>
        <v>3319217.90459383</v>
      </c>
      <c r="I30" s="5"/>
    </row>
    <row r="31" customFormat="false" ht="15.75" hidden="false" customHeight="false" outlineLevel="0" collapsed="false">
      <c r="A31" s="37" t="n">
        <f aca="false">'DCF Valuation'!B12-0.005</f>
        <v>0.115</v>
      </c>
      <c r="B31" s="23" t="n">
        <f aca="false">('DCF Valuation'!B27/(1+A31)^1+'DCF Valuation'!C27/(1+A31)^2+'DCF Valuation'!D27/(1+A31)^3+'DCF Valuation'!E27/(1+A31)^4+'DCF Valuation'!F27/(1+A31)^5)+('DCF Valuation'!F22*B28)/(1+A31)^5-'DCF Valuation'!B15+'DCF Valuation'!B16</f>
        <v>1425348.34712682</v>
      </c>
      <c r="C31" s="23" t="n">
        <f aca="false">('DCF Valuation'!B27/(1+A31)^1+'DCF Valuation'!C27/(1+A31)^2+'DCF Valuation'!D27/(1+A31)^3+'DCF Valuation'!E27/(1+A31)^4+'DCF Valuation'!F27/(1+A31)^5)+('DCF Valuation'!F22*C28)/(1+A31)^5-'DCF Valuation'!B15+'DCF Valuation'!B16</f>
        <v>1729809.76089975</v>
      </c>
      <c r="D31" s="23" t="n">
        <f aca="false">('DCF Valuation'!B27/(1+A31)^1+'DCF Valuation'!C27/(1+A31)^2+'DCF Valuation'!D27/(1+A31)^3+'DCF Valuation'!E27/(1+A31)^4+'DCF Valuation'!F27/(1+A31)^5)+('DCF Valuation'!F22*D28)/(1+A31)^5-'DCF Valuation'!B15+'DCF Valuation'!B16</f>
        <v>2034271.17467268</v>
      </c>
      <c r="E31" s="23" t="n">
        <f aca="false">('DCF Valuation'!B27/(1+A31)^1+'DCF Valuation'!C27/(1+A31)^2+'DCF Valuation'!D27/(1+A31)^3+'DCF Valuation'!E27/(1+A31)^4+'DCF Valuation'!F27/(1+A31)^5)+('DCF Valuation'!F22*E28)/(1+A31)^5-'DCF Valuation'!B15+'DCF Valuation'!B16</f>
        <v>2338732.58844561</v>
      </c>
      <c r="F31" s="23" t="n">
        <f aca="false">('DCF Valuation'!B27/(1+A31)^1+'DCF Valuation'!C27/(1+A31)^2+'DCF Valuation'!D27/(1+A31)^3+'DCF Valuation'!E27/(1+A31)^4+'DCF Valuation'!F27/(1+A31)^5)+('DCF Valuation'!F22*F28)/(1+A31)^5-'DCF Valuation'!B15+'DCF Valuation'!B16</f>
        <v>2643194.00221854</v>
      </c>
      <c r="G31" s="23" t="n">
        <f aca="false">('DCF Valuation'!B27/(1+A31)^1+'DCF Valuation'!C27/(1+A31)^2+'DCF Valuation'!D27/(1+A31)^3+'DCF Valuation'!E27/(1+A31)^4+'DCF Valuation'!F27/(1+A31)^5)+('DCF Valuation'!F22*G28)/(1+A31)^5-'DCF Valuation'!B15+'DCF Valuation'!B16</f>
        <v>2947655.41599147</v>
      </c>
      <c r="H31" s="23" t="n">
        <f aca="false">('DCF Valuation'!B27/(1+A31)^1+'DCF Valuation'!C27/(1+A31)^2+'DCF Valuation'!D27/(1+A31)^3+'DCF Valuation'!E27/(1+A31)^4+'DCF Valuation'!F27/(1+A31)^5)+('DCF Valuation'!F22*H28)/(1+A31)^5-'DCF Valuation'!B15+'DCF Valuation'!B16</f>
        <v>3252116.8297644</v>
      </c>
      <c r="I31" s="5"/>
    </row>
    <row r="32" customFormat="false" ht="15.75" hidden="false" customHeight="false" outlineLevel="0" collapsed="false">
      <c r="A32" s="37" t="n">
        <f aca="false">'DCF Valuation'!B12+0</f>
        <v>0.12</v>
      </c>
      <c r="B32" s="23" t="n">
        <f aca="false">('DCF Valuation'!B27/(1+A32)^1+'DCF Valuation'!C27/(1+A32)^2+'DCF Valuation'!D27/(1+A32)^3+'DCF Valuation'!E27/(1+A32)^4+'DCF Valuation'!F27/(1+A32)^5)+('DCF Valuation'!F22*B28)/(1+A32)^5-'DCF Valuation'!B15+'DCF Valuation'!B16</f>
        <v>1400372.60626898</v>
      </c>
      <c r="C32" s="23" t="n">
        <f aca="false">('DCF Valuation'!B27/(1+A32)^1+'DCF Valuation'!C27/(1+A32)^2+'DCF Valuation'!D27/(1+A32)^3+'DCF Valuation'!E27/(1+A32)^4+'DCF Valuation'!F27/(1+A32)^5)+('DCF Valuation'!F22*C28)/(1+A32)^5-'DCF Valuation'!B15+'DCF Valuation'!B16</f>
        <v>1698098.41475247</v>
      </c>
      <c r="D32" s="23" t="n">
        <f aca="false">('DCF Valuation'!B27/(1+A32)^1+'DCF Valuation'!C27/(1+A32)^2+'DCF Valuation'!D27/(1+A32)^3+'DCF Valuation'!E27/(1+A32)^4+'DCF Valuation'!F27/(1+A32)^5)+('DCF Valuation'!F22*D28)/(1+A32)^5-'DCF Valuation'!B15+'DCF Valuation'!B16</f>
        <v>1995824.22323596</v>
      </c>
      <c r="E32" s="38" t="n">
        <f aca="false">('DCF Valuation'!B27/(1+A32)^1+'DCF Valuation'!C27/(1+A32)^2+'DCF Valuation'!D27/(1+A32)^3+'DCF Valuation'!E27/(1+A32)^4+'DCF Valuation'!F27/(1+A32)^5)+('DCF Valuation'!F22*E28)/(1+A32)^5-'DCF Valuation'!B15+'DCF Valuation'!B16</f>
        <v>2293550.03171945</v>
      </c>
      <c r="F32" s="23" t="n">
        <f aca="false">('DCF Valuation'!B27/(1+A32)^1+'DCF Valuation'!C27/(1+A32)^2+'DCF Valuation'!D27/(1+A32)^3+'DCF Valuation'!E27/(1+A32)^4+'DCF Valuation'!F27/(1+A32)^5)+('DCF Valuation'!F22*F28)/(1+A32)^5-'DCF Valuation'!B15+'DCF Valuation'!B16</f>
        <v>2591275.84020293</v>
      </c>
      <c r="G32" s="23" t="n">
        <f aca="false">('DCF Valuation'!B27/(1+A32)^1+'DCF Valuation'!C27/(1+A32)^2+'DCF Valuation'!D27/(1+A32)^3+'DCF Valuation'!E27/(1+A32)^4+'DCF Valuation'!F27/(1+A32)^5)+('DCF Valuation'!F22*G28)/(1+A32)^5-'DCF Valuation'!B15+'DCF Valuation'!B16</f>
        <v>2889001.64868642</v>
      </c>
      <c r="H32" s="23" t="n">
        <f aca="false">('DCF Valuation'!B27/(1+A32)^1+'DCF Valuation'!C27/(1+A32)^2+'DCF Valuation'!D27/(1+A32)^3+'DCF Valuation'!E27/(1+A32)^4+'DCF Valuation'!F27/(1+A32)^5)+('DCF Valuation'!F22*H28)/(1+A32)^5-'DCF Valuation'!B15+'DCF Valuation'!B16</f>
        <v>3186727.45716991</v>
      </c>
      <c r="I32" s="5"/>
    </row>
    <row r="33" customFormat="false" ht="15.75" hidden="false" customHeight="false" outlineLevel="0" collapsed="false">
      <c r="A33" s="37" t="n">
        <f aca="false">'DCF Valuation'!B12+0.005</f>
        <v>0.125</v>
      </c>
      <c r="B33" s="23" t="n">
        <f aca="false">('DCF Valuation'!B27/(1+A33)^1+'DCF Valuation'!C27/(1+A33)^2+'DCF Valuation'!D27/(1+A33)^3+'DCF Valuation'!E27/(1+A33)^4+'DCF Valuation'!F27/(1+A33)^5)+('DCF Valuation'!F22*B28)/(1+A33)^5-'DCF Valuation'!B15+'DCF Valuation'!B16</f>
        <v>1375988.70721557</v>
      </c>
      <c r="C33" s="23" t="n">
        <f aca="false">('DCF Valuation'!B27/(1+A33)^1+'DCF Valuation'!C27/(1+A33)^2+'DCF Valuation'!D27/(1+A33)^3+'DCF Valuation'!E27/(1+A33)^4+'DCF Valuation'!F27/(1+A33)^5)+('DCF Valuation'!F22*C28)/(1+A33)^5-'DCF Valuation'!B15+'DCF Valuation'!B16</f>
        <v>1667156.93586028</v>
      </c>
      <c r="D33" s="23" t="n">
        <f aca="false">('DCF Valuation'!B27/(1+A33)^1+'DCF Valuation'!C27/(1+A33)^2+'DCF Valuation'!D27/(1+A33)^3+'DCF Valuation'!E27/(1+A33)^4+'DCF Valuation'!F27/(1+A33)^5)+('DCF Valuation'!F22*D28)/(1+A33)^5-'DCF Valuation'!B15+'DCF Valuation'!B16</f>
        <v>1958325.16450498</v>
      </c>
      <c r="E33" s="23" t="n">
        <f aca="false">('DCF Valuation'!B27/(1+A33)^1+'DCF Valuation'!C27/(1+A33)^2+'DCF Valuation'!D27/(1+A33)^3+'DCF Valuation'!E27/(1+A33)^4+'DCF Valuation'!F27/(1+A33)^5)+('DCF Valuation'!F22*E28)/(1+A33)^5-'DCF Valuation'!B15+'DCF Valuation'!B16</f>
        <v>2249493.39314969</v>
      </c>
      <c r="F33" s="23" t="n">
        <f aca="false">('DCF Valuation'!B27/(1+A33)^1+'DCF Valuation'!C27/(1+A33)^2+'DCF Valuation'!D27/(1+A33)^3+'DCF Valuation'!E27/(1+A33)^4+'DCF Valuation'!F27/(1+A33)^5)+('DCF Valuation'!F22*F28)/(1+A33)^5-'DCF Valuation'!B15+'DCF Valuation'!B16</f>
        <v>2540661.62179439</v>
      </c>
      <c r="G33" s="23" t="n">
        <f aca="false">('DCF Valuation'!B27/(1+A33)^1+'DCF Valuation'!C27/(1+A33)^2+'DCF Valuation'!D27/(1+A33)^3+'DCF Valuation'!E27/(1+A33)^4+'DCF Valuation'!F27/(1+A33)^5)+('DCF Valuation'!F22*G28)/(1+A33)^5-'DCF Valuation'!B15+'DCF Valuation'!B16</f>
        <v>2831829.8504391</v>
      </c>
      <c r="H33" s="23" t="n">
        <f aca="false">('DCF Valuation'!B27/(1+A33)^1+'DCF Valuation'!C27/(1+A33)^2+'DCF Valuation'!D27/(1+A33)^3+'DCF Valuation'!E27/(1+A33)^4+'DCF Valuation'!F27/(1+A33)^5)+('DCF Valuation'!F22*H28)/(1+A33)^5-'DCF Valuation'!B15+'DCF Valuation'!B16</f>
        <v>3122998.0790838</v>
      </c>
      <c r="I33" s="5"/>
    </row>
    <row r="34" customFormat="false" ht="15.75" hidden="false" customHeight="false" outlineLevel="0" collapsed="false">
      <c r="A34" s="37" t="n">
        <f aca="false">'DCF Valuation'!B12+0.01</f>
        <v>0.13</v>
      </c>
      <c r="B34" s="23" t="n">
        <f aca="false">('DCF Valuation'!B27/(1+A34)^1+'DCF Valuation'!C27/(1+A34)^2+'DCF Valuation'!D27/(1+A34)^3+'DCF Valuation'!E27/(1+A34)^4+'DCF Valuation'!F27/(1+A34)^5)+('DCF Valuation'!F22*B28)/(1+A34)^5-'DCF Valuation'!B15+'DCF Valuation'!B16</f>
        <v>1352179.52631127</v>
      </c>
      <c r="C34" s="23" t="n">
        <f aca="false">('DCF Valuation'!B27/(1+A34)^1+'DCF Valuation'!C27/(1+A34)^2+'DCF Valuation'!D27/(1+A34)^3+'DCF Valuation'!E27/(1+A34)^4+'DCF Valuation'!F27/(1+A34)^5)+('DCF Valuation'!F22*C28)/(1+A34)^5-'DCF Valuation'!B15+'DCF Valuation'!B16</f>
        <v>1636962.73515893</v>
      </c>
      <c r="D34" s="23" t="n">
        <f aca="false">('DCF Valuation'!B27/(1+A34)^1+'DCF Valuation'!C27/(1+A34)^2+'DCF Valuation'!D27/(1+A34)^3+'DCF Valuation'!E27/(1+A34)^4+'DCF Valuation'!F27/(1+A34)^5)+('DCF Valuation'!F22*D28)/(1+A34)^5-'DCF Valuation'!B15+'DCF Valuation'!B16</f>
        <v>1921745.94400659</v>
      </c>
      <c r="E34" s="23" t="n">
        <f aca="false">('DCF Valuation'!B27/(1+A34)^1+'DCF Valuation'!C27/(1+A34)^2+'DCF Valuation'!D27/(1+A34)^3+'DCF Valuation'!E27/(1+A34)^4+'DCF Valuation'!F27/(1+A34)^5)+('DCF Valuation'!F22*E28)/(1+A34)^5-'DCF Valuation'!B15+'DCF Valuation'!B16</f>
        <v>2206529.15285425</v>
      </c>
      <c r="F34" s="23" t="n">
        <f aca="false">('DCF Valuation'!B27/(1+A34)^1+'DCF Valuation'!C27/(1+A34)^2+'DCF Valuation'!D27/(1+A34)^3+'DCF Valuation'!E27/(1+A34)^4+'DCF Valuation'!F27/(1+A34)^5)+('DCF Valuation'!F22*F28)/(1+A34)^5-'DCF Valuation'!B15+'DCF Valuation'!B16</f>
        <v>2491312.36170192</v>
      </c>
      <c r="G34" s="23" t="n">
        <f aca="false">('DCF Valuation'!B27/(1+A34)^1+'DCF Valuation'!C27/(1+A34)^2+'DCF Valuation'!D27/(1+A34)^3+'DCF Valuation'!E27/(1+A34)^4+'DCF Valuation'!F27/(1+A34)^5)+('DCF Valuation'!F22*G28)/(1+A34)^5-'DCF Valuation'!B15+'DCF Valuation'!B16</f>
        <v>2776095.57054958</v>
      </c>
      <c r="H34" s="23" t="n">
        <f aca="false">('DCF Valuation'!B27/(1+A34)^1+'DCF Valuation'!C27/(1+A34)^2+'DCF Valuation'!D27/(1+A34)^3+'DCF Valuation'!E27/(1+A34)^4+'DCF Valuation'!F27/(1+A34)^5)+('DCF Valuation'!F22*H28)/(1+A34)^5-'DCF Valuation'!B15+'DCF Valuation'!B16</f>
        <v>3060878.77939724</v>
      </c>
      <c r="I34" s="5"/>
    </row>
    <row r="35" customFormat="false" ht="15.75" hidden="false" customHeight="false" outlineLevel="0" collapsed="false">
      <c r="A35" s="37" t="n">
        <f aca="false">'DCF Valuation'!B12+0.015</f>
        <v>0.135</v>
      </c>
      <c r="B35" s="23" t="n">
        <f aca="false">('DCF Valuation'!B27/(1+A35)^1+'DCF Valuation'!C27/(1+A35)^2+'DCF Valuation'!D27/(1+A35)^3+'DCF Valuation'!E27/(1+A35)^4+'DCF Valuation'!F27/(1+A35)^5)+('DCF Valuation'!F22*B28)/(1+A35)^5-'DCF Valuation'!B15+'DCF Valuation'!B16</f>
        <v>1328928.51618029</v>
      </c>
      <c r="C35" s="23" t="n">
        <f aca="false">('DCF Valuation'!B27/(1+A35)^1+'DCF Valuation'!C27/(1+A35)^2+'DCF Valuation'!D27/(1+A35)^3+'DCF Valuation'!E27/(1+A35)^4+'DCF Valuation'!F27/(1+A35)^5)+('DCF Valuation'!F22*C28)/(1+A35)^5-'DCF Valuation'!B15+'DCF Valuation'!B16</f>
        <v>1607493.99078392</v>
      </c>
      <c r="D35" s="23" t="n">
        <f aca="false">('DCF Valuation'!B27/(1+A35)^1+'DCF Valuation'!C27/(1+A35)^2+'DCF Valuation'!D27/(1+A35)^3+'DCF Valuation'!E27/(1+A35)^4+'DCF Valuation'!F27/(1+A35)^5)+('DCF Valuation'!F22*D28)/(1+A35)^5-'DCF Valuation'!B15+'DCF Valuation'!B16</f>
        <v>1886059.46538756</v>
      </c>
      <c r="E35" s="23" t="n">
        <f aca="false">('DCF Valuation'!B27/(1+A35)^1+'DCF Valuation'!C27/(1+A35)^2+'DCF Valuation'!D27/(1+A35)^3+'DCF Valuation'!E27/(1+A35)^4+'DCF Valuation'!F27/(1+A35)^5)+('DCF Valuation'!F22*E28)/(1+A35)^5-'DCF Valuation'!B15+'DCF Valuation'!B16</f>
        <v>2164624.93999119</v>
      </c>
      <c r="F35" s="23" t="n">
        <f aca="false">('DCF Valuation'!B27/(1+A35)^1+'DCF Valuation'!C27/(1+A35)^2+'DCF Valuation'!D27/(1+A35)^3+'DCF Valuation'!E27/(1+A35)^4+'DCF Valuation'!F27/(1+A35)^5)+('DCF Valuation'!F22*F28)/(1+A35)^5-'DCF Valuation'!B15+'DCF Valuation'!B16</f>
        <v>2443190.41459482</v>
      </c>
      <c r="G35" s="23" t="n">
        <f aca="false">('DCF Valuation'!B27/(1+A35)^1+'DCF Valuation'!C27/(1+A35)^2+'DCF Valuation'!D27/(1+A35)^3+'DCF Valuation'!E27/(1+A35)^4+'DCF Valuation'!F27/(1+A35)^5)+('DCF Valuation'!F22*G28)/(1+A35)^5-'DCF Valuation'!B15+'DCF Valuation'!B16</f>
        <v>2721755.88919846</v>
      </c>
      <c r="H35" s="23" t="n">
        <f aca="false">('DCF Valuation'!B27/(1+A35)^1+'DCF Valuation'!C27/(1+A35)^2+'DCF Valuation'!D27/(1+A35)^3+'DCF Valuation'!E27/(1+A35)^4+'DCF Valuation'!F27/(1+A35)^5)+('DCF Valuation'!F22*H28)/(1+A35)^5-'DCF Valuation'!B15+'DCF Valuation'!B16</f>
        <v>3000321.36380209</v>
      </c>
      <c r="I35" s="5"/>
    </row>
    <row r="36" customFormat="false" ht="15.75" hidden="false" customHeight="false" outlineLevel="0" collapsed="false">
      <c r="A36" s="5"/>
      <c r="B36" s="5"/>
      <c r="C36" s="5"/>
      <c r="D36" s="5"/>
      <c r="E36" s="5"/>
      <c r="F36" s="5"/>
      <c r="G36" s="5"/>
      <c r="H36" s="5"/>
      <c r="I36" s="5"/>
    </row>
    <row r="37" customFormat="false" ht="15.75" hidden="false" customHeight="false" outlineLevel="0" collapsed="false">
      <c r="A37" s="5"/>
      <c r="B37" s="5"/>
      <c r="C37" s="5"/>
      <c r="D37" s="5"/>
      <c r="E37" s="5"/>
      <c r="F37" s="5"/>
      <c r="G37" s="5"/>
      <c r="H37" s="5"/>
      <c r="I37" s="5"/>
    </row>
    <row r="38" customFormat="false" ht="15.75" hidden="false" customHeight="false" outlineLevel="0" collapsed="false">
      <c r="A38" s="5"/>
      <c r="B38" s="5"/>
      <c r="C38" s="5"/>
      <c r="D38" s="5"/>
      <c r="E38" s="5"/>
      <c r="F38" s="5"/>
      <c r="G38" s="5"/>
      <c r="H38" s="5"/>
      <c r="I38" s="5"/>
    </row>
    <row r="39" customFormat="false" ht="15.75" hidden="false" customHeight="false" outlineLevel="0" collapsed="false">
      <c r="A39" s="5"/>
      <c r="B39" s="5"/>
      <c r="C39" s="5"/>
      <c r="D39" s="5"/>
      <c r="E39" s="5"/>
      <c r="F39" s="5"/>
      <c r="G39" s="5"/>
      <c r="H39" s="5"/>
      <c r="I39" s="5"/>
    </row>
    <row r="40" customFormat="false" ht="15.75" hidden="false" customHeight="false" outlineLevel="0" collapsed="false">
      <c r="A40" s="5"/>
      <c r="B40" s="5"/>
      <c r="C40" s="5"/>
      <c r="D40" s="5"/>
      <c r="E40" s="5"/>
      <c r="F40" s="5"/>
      <c r="G40" s="5"/>
      <c r="H40" s="5"/>
      <c r="I40" s="5"/>
    </row>
    <row r="41" customFormat="false" ht="15.75" hidden="false" customHeight="false" outlineLevel="0" collapsed="false">
      <c r="A41" s="5"/>
      <c r="B41" s="5"/>
      <c r="C41" s="5"/>
      <c r="D41" s="5"/>
      <c r="E41" s="5"/>
      <c r="F41" s="5"/>
      <c r="G41" s="5"/>
      <c r="H41" s="5"/>
      <c r="I41" s="5"/>
    </row>
    <row r="42" customFormat="false" ht="15.75" hidden="false" customHeight="false" outlineLevel="0" collapsed="false">
      <c r="A42" s="5"/>
      <c r="B42" s="5"/>
      <c r="C42" s="5"/>
      <c r="D42" s="5"/>
      <c r="E42" s="5"/>
      <c r="F42" s="5"/>
      <c r="G42" s="5"/>
      <c r="H42" s="5"/>
      <c r="I42" s="5"/>
    </row>
    <row r="43" customFormat="false" ht="15.75" hidden="false" customHeight="false" outlineLevel="0" collapsed="false">
      <c r="A43" s="5"/>
      <c r="B43" s="5"/>
      <c r="C43" s="5"/>
      <c r="D43" s="5"/>
      <c r="E43" s="5"/>
      <c r="F43" s="5"/>
      <c r="G43" s="5"/>
      <c r="H43" s="5"/>
      <c r="I43" s="5"/>
    </row>
    <row r="44" customFormat="false" ht="15.75" hidden="false" customHeight="false" outlineLevel="0" collapsed="false">
      <c r="A44" s="5"/>
      <c r="B44" s="5"/>
      <c r="C44" s="5"/>
      <c r="D44" s="5"/>
      <c r="E44" s="5"/>
      <c r="F44" s="5"/>
      <c r="G44" s="5"/>
      <c r="H44" s="5"/>
      <c r="I44" s="5"/>
    </row>
    <row r="45" customFormat="false" ht="15.75" hidden="false" customHeight="false" outlineLevel="0" collapsed="false">
      <c r="A45" s="5"/>
      <c r="B45" s="5"/>
      <c r="C45" s="5"/>
      <c r="D45" s="5"/>
      <c r="E45" s="5"/>
      <c r="F45" s="5"/>
      <c r="G45" s="5"/>
      <c r="H45" s="5"/>
      <c r="I45" s="5"/>
    </row>
    <row r="46" customFormat="false" ht="15.75" hidden="false" customHeight="false" outlineLevel="0" collapsed="false">
      <c r="A46" s="5"/>
      <c r="B46" s="5"/>
      <c r="C46" s="5"/>
      <c r="D46" s="5"/>
      <c r="E46" s="5"/>
      <c r="F46" s="5"/>
      <c r="G46" s="5"/>
      <c r="H46" s="5"/>
      <c r="I46" s="5"/>
    </row>
    <row r="47" customFormat="false" ht="15.75" hidden="false" customHeight="false" outlineLevel="0" collapsed="false">
      <c r="A47" s="5"/>
      <c r="B47" s="5"/>
      <c r="C47" s="5"/>
      <c r="D47" s="5"/>
      <c r="E47" s="5"/>
      <c r="F47" s="5"/>
      <c r="G47" s="5"/>
      <c r="H47" s="5"/>
      <c r="I47" s="5"/>
    </row>
    <row r="48" customFormat="false" ht="15.75" hidden="false" customHeight="false" outlineLevel="0" collapsed="false">
      <c r="A48" s="5"/>
      <c r="B48" s="5"/>
      <c r="C48" s="5"/>
      <c r="D48" s="5"/>
      <c r="E48" s="5"/>
      <c r="F48" s="5"/>
      <c r="G48" s="5"/>
      <c r="H48" s="5"/>
      <c r="I48" s="5"/>
    </row>
    <row r="49" customFormat="false" ht="15.75" hidden="false" customHeight="false" outlineLevel="0" collapsed="false">
      <c r="A49" s="5"/>
      <c r="B49" s="5"/>
      <c r="C49" s="5"/>
      <c r="D49" s="5"/>
      <c r="E49" s="5"/>
      <c r="F49" s="5"/>
      <c r="G49" s="5"/>
      <c r="H49" s="5"/>
      <c r="I49" s="5"/>
    </row>
    <row r="50" customFormat="false" ht="15.75" hidden="false" customHeight="false" outlineLevel="0" collapsed="false">
      <c r="A50" s="5"/>
      <c r="B50" s="5"/>
      <c r="C50" s="5"/>
      <c r="D50" s="5"/>
      <c r="E50" s="5"/>
      <c r="F50" s="5"/>
      <c r="G50" s="5"/>
      <c r="H50" s="5"/>
      <c r="I50" s="5"/>
    </row>
    <row r="51" customFormat="false" ht="15.75" hidden="false" customHeight="false" outlineLevel="0" collapsed="false">
      <c r="A51" s="5"/>
      <c r="B51" s="5"/>
      <c r="C51" s="5"/>
      <c r="D51" s="5"/>
      <c r="E51" s="5"/>
      <c r="F51" s="5"/>
      <c r="G51" s="5"/>
      <c r="H51" s="5"/>
      <c r="I51" s="5"/>
    </row>
    <row r="52" customFormat="false" ht="15.75" hidden="false" customHeight="false" outlineLevel="0" collapsed="false">
      <c r="A52" s="5"/>
      <c r="B52" s="5"/>
      <c r="C52" s="5"/>
      <c r="D52" s="5"/>
      <c r="E52" s="5"/>
      <c r="F52" s="5"/>
      <c r="G52" s="5"/>
      <c r="H52" s="5"/>
      <c r="I52" s="5"/>
    </row>
    <row r="53" customFormat="false" ht="15.75" hidden="false" customHeight="false" outlineLevel="0" collapsed="false">
      <c r="A53" s="5"/>
      <c r="B53" s="5"/>
      <c r="C53" s="5"/>
      <c r="D53" s="5"/>
      <c r="E53" s="5"/>
      <c r="F53" s="5"/>
      <c r="G53" s="5"/>
      <c r="H53" s="5"/>
      <c r="I53" s="5"/>
    </row>
    <row r="54" customFormat="false" ht="15.75" hidden="false" customHeight="false" outlineLevel="0" collapsed="false">
      <c r="A54" s="5"/>
      <c r="B54" s="5"/>
      <c r="C54" s="5"/>
      <c r="D54" s="5"/>
      <c r="E54" s="5"/>
      <c r="F54" s="5"/>
      <c r="G54" s="5"/>
      <c r="H54" s="5"/>
      <c r="I54" s="5"/>
    </row>
    <row r="55" customFormat="false" ht="15.75" hidden="false" customHeight="false" outlineLevel="0" collapsed="false">
      <c r="A55" s="5"/>
      <c r="B55" s="5"/>
      <c r="C55" s="5"/>
      <c r="D55" s="5"/>
      <c r="E55" s="5"/>
      <c r="F55" s="5"/>
      <c r="G55" s="5"/>
      <c r="H55" s="5"/>
      <c r="I55" s="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LibreOffice/26.2.1.2$MacOSX_AARCH64 LibreOffice_project/8399f6259d8c87f40e7255cdb3c9b958f5e08948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2026-03-22T19:10:56Z</dcterms:created>
  <dc:creator>Bob Evers</dc:creator>
  <dc:description/>
  <dc:language>en-US</dc:language>
  <cp:lastModifiedBy>Bob Evers</cp:lastModifiedBy>
  <dcterms:modified xsi:type="dcterms:W3CDTF">2026-04-11T16:07:49Z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