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600" firstSheet="0" activeTab="3"/>
  </bookViews>
  <sheets>
    <sheet name="Assumptions &amp; Inputs" sheetId="1" state="visible" r:id="rId3"/>
    <sheet name="Pro Forma Income Statement" sheetId="2" state="visible" r:id="rId4"/>
    <sheet name="Pro Forma Balance Sheet" sheetId="3" state="visible" r:id="rId5"/>
    <sheet name="Pro Forma Cash Flow" sheetId="4" state="visible" r:id="rId6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<sst xmlns="http://schemas.openxmlformats.org/spreadsheetml/2006/main" count="218" uniqueCount="151">
  <si>
    <t xml:space="preserve">Consulting Pro Forma — Assumptions &amp; Inputs</t>
  </si>
  <si>
    <t xml:space="preserve">Year 1</t>
  </si>
  <si>
    <t xml:space="preserve">Year 2</t>
  </si>
  <si>
    <t xml:space="preserve">Year 3</t>
  </si>
  <si>
    <t xml:space="preserve">Year 4</t>
  </si>
  <si>
    <t xml:space="preserve">Year 5</t>
  </si>
  <si>
    <t xml:space="preserve">Year 1 (Actual)</t>
  </si>
  <si>
    <t xml:space="preserve">Revenue Assumptions</t>
  </si>
  <si>
    <t xml:space="preserve">Total Revenue (Year 1 Base)</t>
  </si>
  <si>
    <t xml:space="preserve">$</t>
  </si>
  <si>
    <t xml:space="preserve">Revenue Growth Rate</t>
  </si>
  <si>
    <t xml:space="preserve">%</t>
  </si>
  <si>
    <t xml:space="preserve">—</t>
  </si>
  <si>
    <t xml:space="preserve">Average Hourly Rate</t>
  </si>
  <si>
    <t xml:space="preserve">Monthly Billable Hours</t>
  </si>
  <si>
    <t xml:space="preserve">#</t>
  </si>
  <si>
    <t xml:space="preserve">Operating Days Per Year</t>
  </si>
  <si>
    <t xml:space="preserve">days</t>
  </si>
  <si>
    <t xml:space="preserve">Cost of Goods Sold (COGS)</t>
  </si>
  <si>
    <t xml:space="preserve">Subcontractor Cost % of Revenue</t>
  </si>
  <si>
    <t xml:space="preserve">Travel &amp; Expenses % of Revenue</t>
  </si>
  <si>
    <t xml:space="preserve">Retainer Revenue % of Total</t>
  </si>
  <si>
    <t xml:space="preserve">Labor &amp; Operating Expenses</t>
  </si>
  <si>
    <t xml:space="preserve">Labor Cost % of Revenue</t>
  </si>
  <si>
    <t xml:space="preserve">Management Salaries (Annual)</t>
  </si>
  <si>
    <t xml:space="preserve">Rent / Occupancy (Annual)</t>
  </si>
  <si>
    <t xml:space="preserve">Utilities % of Revenue</t>
  </si>
  <si>
    <t xml:space="preserve">Marketing &amp; Advertising % of Rev</t>
  </si>
  <si>
    <t xml:space="preserve">Insurance (Annual)</t>
  </si>
  <si>
    <t xml:space="preserve">Repairs &amp; Maintenance % of Rev</t>
  </si>
  <si>
    <t xml:space="preserve">Research &amp; Subscriptions % of Rev</t>
  </si>
  <si>
    <t xml:space="preserve">Other Operating Expenses % of Rev</t>
  </si>
  <si>
    <t xml:space="preserve">Annual Cost Inflation Rate</t>
  </si>
  <si>
    <t xml:space="preserve">Capital Expenditures &amp; Depreciation</t>
  </si>
  <si>
    <t xml:space="preserve">Initial Buildout / FF&amp;E</t>
  </si>
  <si>
    <t xml:space="preserve">Annual Maintenance CapEx</t>
  </si>
  <si>
    <t xml:space="preserve">Expansion CapEx</t>
  </si>
  <si>
    <t xml:space="preserve">Avg Useful Life of Assets</t>
  </si>
  <si>
    <t xml:space="preserve">years</t>
  </si>
  <si>
    <t xml:space="preserve">Depreciation Method</t>
  </si>
  <si>
    <t xml:space="preserve">Straight-Line</t>
  </si>
  <si>
    <t xml:space="preserve">Financing Assumptions</t>
  </si>
  <si>
    <t xml:space="preserve">Initial Loan Amount</t>
  </si>
  <si>
    <t xml:space="preserve">Annual Interest Rate</t>
  </si>
  <si>
    <t xml:space="preserve">Loan Term</t>
  </si>
  <si>
    <t xml:space="preserve">Annual Principal Repayment</t>
  </si>
  <si>
    <t xml:space="preserve">Working Capital Assumptions</t>
  </si>
  <si>
    <t xml:space="preserve">Days Sales Outstanding (DSO)</t>
  </si>
  <si>
    <t xml:space="preserve">Days Inventory Outstanding (DIO)</t>
  </si>
  <si>
    <t xml:space="preserve">Days Payable Outstanding (DPO)</t>
  </si>
  <si>
    <t xml:space="preserve">Tax &amp; Other Assumptions</t>
  </si>
  <si>
    <t xml:space="preserve">Effective Tax Rate</t>
  </si>
  <si>
    <t xml:space="preserve">Beginning Cash Balance (Year 1)</t>
  </si>
  <si>
    <t xml:space="preserve">Owner's Equity / Initial Investment</t>
  </si>
  <si>
    <t xml:space="preserve">Dividend / Owner Draw % of Net Income</t>
  </si>
  <si>
    <t xml:space="preserve">Pro Forma Income Statement</t>
  </si>
  <si>
    <t xml:space="preserve">Revenue</t>
  </si>
  <si>
    <t xml:space="preserve">Total Revenue</t>
  </si>
  <si>
    <t xml:space="preserve">  Revenue Growth % YoY</t>
  </si>
  <si>
    <t xml:space="preserve">  Retainer Revenue</t>
  </si>
  <si>
    <t xml:space="preserve">  Project Revenue</t>
  </si>
  <si>
    <t xml:space="preserve">Cost of Goods Sold</t>
  </si>
  <si>
    <t xml:space="preserve">Subcontractor Cost</t>
  </si>
  <si>
    <t xml:space="preserve">Travel &amp; Expenses</t>
  </si>
  <si>
    <t xml:space="preserve">Total COGS</t>
  </si>
  <si>
    <t xml:space="preserve">  COGS % of Revenue</t>
  </si>
  <si>
    <t xml:space="preserve">Gross Profit</t>
  </si>
  <si>
    <t xml:space="preserve">  Gross Margin %</t>
  </si>
  <si>
    <t xml:space="preserve">Operating Expenses</t>
  </si>
  <si>
    <t xml:space="preserve">Consultant Compensation</t>
  </si>
  <si>
    <t xml:space="preserve">Management Salaries</t>
  </si>
  <si>
    <t xml:space="preserve">Rent / Occupancy</t>
  </si>
  <si>
    <t xml:space="preserve">Utilities</t>
  </si>
  <si>
    <t xml:space="preserve">Marketing &amp; Advertising</t>
  </si>
  <si>
    <t xml:space="preserve">Insurance</t>
  </si>
  <si>
    <t xml:space="preserve">Repairs &amp; Maintenance</t>
  </si>
  <si>
    <t xml:space="preserve">Research &amp; Subscriptions</t>
  </si>
  <si>
    <t xml:space="preserve">Other Operating Expenses</t>
  </si>
  <si>
    <t xml:space="preserve">Depreciation</t>
  </si>
  <si>
    <t xml:space="preserve">Total Operating Expenses</t>
  </si>
  <si>
    <t xml:space="preserve">  OpEx % of Revenue</t>
  </si>
  <si>
    <t xml:space="preserve">Operating Income</t>
  </si>
  <si>
    <t xml:space="preserve">EBITDA</t>
  </si>
  <si>
    <t xml:space="preserve">  EBITDA Margin %</t>
  </si>
  <si>
    <t xml:space="preserve">EBIT (Operating Income)</t>
  </si>
  <si>
    <t xml:space="preserve">  EBIT Margin %</t>
  </si>
  <si>
    <t xml:space="preserve">Interest &amp; Taxes</t>
  </si>
  <si>
    <t xml:space="preserve">Interest Expense</t>
  </si>
  <si>
    <t xml:space="preserve">Earnings Before Tax (EBT)</t>
  </si>
  <si>
    <t xml:space="preserve">Income Tax Expense</t>
  </si>
  <si>
    <t xml:space="preserve">  Effective Tax Rate</t>
  </si>
  <si>
    <t xml:space="preserve">Net Income</t>
  </si>
  <si>
    <t xml:space="preserve">  Net Margin %</t>
  </si>
  <si>
    <t xml:space="preserve">  Net Income Growth % YoY</t>
  </si>
  <si>
    <t xml:space="preserve">Pro Forma Balance Sheet</t>
  </si>
  <si>
    <t xml:space="preserve">Current Assets</t>
  </si>
  <si>
    <t xml:space="preserve">Cash &amp; Cash Equivalents</t>
  </si>
  <si>
    <t xml:space="preserve">Accounts Receivable</t>
  </si>
  <si>
    <t xml:space="preserve">Inventory</t>
  </si>
  <si>
    <t xml:space="preserve">Prepaid Expenses</t>
  </si>
  <si>
    <t xml:space="preserve">Total Current Assets</t>
  </si>
  <si>
    <t xml:space="preserve">Non-Current Assets</t>
  </si>
  <si>
    <t xml:space="preserve">Gross Property, Plant &amp; Equipment</t>
  </si>
  <si>
    <t xml:space="preserve">Less: Accumulated Depreciation</t>
  </si>
  <si>
    <t xml:space="preserve">Net Property, Plant &amp; Equipment</t>
  </si>
  <si>
    <t xml:space="preserve">TOTAL ASSETS</t>
  </si>
  <si>
    <t xml:space="preserve">Current Liabilities</t>
  </si>
  <si>
    <t xml:space="preserve">Accounts Payable</t>
  </si>
  <si>
    <t xml:space="preserve">Accrued Expenses</t>
  </si>
  <si>
    <t xml:space="preserve">Current Portion of Long-Term Debt</t>
  </si>
  <si>
    <t xml:space="preserve">Total Current Liabilities</t>
  </si>
  <si>
    <t xml:space="preserve">Non-Current Liabilities</t>
  </si>
  <si>
    <t xml:space="preserve">Long-Term Debt (excl. current portion)</t>
  </si>
  <si>
    <t xml:space="preserve">Total Non-Current Liabilities</t>
  </si>
  <si>
    <t xml:space="preserve">TOTAL LIABILITIES</t>
  </si>
  <si>
    <t xml:space="preserve">Stockholders' Equity</t>
  </si>
  <si>
    <t xml:space="preserve">Owner's Equity / Paid-in Capital</t>
  </si>
  <si>
    <t xml:space="preserve">Retained Earnings</t>
  </si>
  <si>
    <t xml:space="preserve">Total Stockholders' Equity</t>
  </si>
  <si>
    <t xml:space="preserve">TOTAL LIABILITIES &amp; EQUITY</t>
  </si>
  <si>
    <t xml:space="preserve">Balance Check (Assets - L&amp;E)</t>
  </si>
  <si>
    <t xml:space="preserve">Pro Forma Cash Flow Statement</t>
  </si>
  <si>
    <t xml:space="preserve">Cash Flows from Operating Activities</t>
  </si>
  <si>
    <t xml:space="preserve">Add: Depreciation &amp; Amortization</t>
  </si>
  <si>
    <t xml:space="preserve">Changes in Working Capital:</t>
  </si>
  <si>
    <t xml:space="preserve">  (Increase) / Decrease in Accounts Receivable</t>
  </si>
  <si>
    <t xml:space="preserve">  (Increase) / Decrease in Inventory</t>
  </si>
  <si>
    <t xml:space="preserve">  (Increase) / Decrease in Prepaid Expenses</t>
  </si>
  <si>
    <t xml:space="preserve">  Increase / (Decrease) in Accounts Payable</t>
  </si>
  <si>
    <t xml:space="preserve">  Increase / (Decrease) in Accrued Expenses</t>
  </si>
  <si>
    <t xml:space="preserve">Net Cash from Operating Activities</t>
  </si>
  <si>
    <t xml:space="preserve">Cash Flows from Investing Activities</t>
  </si>
  <si>
    <t xml:space="preserve">Maintenance CapEx</t>
  </si>
  <si>
    <t xml:space="preserve">Net Cash from Investing Activities</t>
  </si>
  <si>
    <t xml:space="preserve">Cash Flows from Financing Activities</t>
  </si>
  <si>
    <t xml:space="preserve">Loan Proceeds</t>
  </si>
  <si>
    <t xml:space="preserve">Loan Principal Repayments</t>
  </si>
  <si>
    <t xml:space="preserve">Interest Payments (in Net Income)</t>
  </si>
  <si>
    <t xml:space="preserve">Owner's Equity Contributions</t>
  </si>
  <si>
    <t xml:space="preserve">Dividends / Owner Draws</t>
  </si>
  <si>
    <t xml:space="preserve">Net Cash from Financing Activities</t>
  </si>
  <si>
    <t xml:space="preserve">Cash Summary</t>
  </si>
  <si>
    <t xml:space="preserve">Net Change in Cash</t>
  </si>
  <si>
    <t xml:space="preserve">Beginning Cash Balance</t>
  </si>
  <si>
    <t xml:space="preserve">Ending Cash Balance</t>
  </si>
  <si>
    <t xml:space="preserve">Free Cash Flow Analysis</t>
  </si>
  <si>
    <t xml:space="preserve">Cash from Operations</t>
  </si>
  <si>
    <t xml:space="preserve">Less: Total Capital Expenditures</t>
  </si>
  <si>
    <t xml:space="preserve">Free Cash Flow (FCF)</t>
  </si>
  <si>
    <t xml:space="preserve">  FCF Margin %</t>
  </si>
  <si>
    <t xml:space="preserve">Cumulative Free Cash Flow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</si>
</sst>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\$#,##0"/>
    <numFmt numFmtId="166" formatCode="@"/>
    <numFmt numFmtId="167" formatCode="0.0%"/>
    <numFmt numFmtId="168" formatCode="\$#,##0.00"/>
    <numFmt numFmtId="169" formatCode="#,##0"/>
    <numFmt numFmtId="170" formatCode="\$#,##0;&quot;($&quot;#,##0\);\-"/>
  </numFmts>
  <fonts count="21">
    <font>
      <sz val="12"/>
      <color theme="1"/>
      <name val="Aptos Narrow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3"/>
      <color rgb="FFFFFFFF"/>
      <name val="Aptos"/>
      <family val="0"/>
      <charset val="1"/>
    </font>
    <font>
      <b val="true"/>
      <sz val="11"/>
      <color rgb="FF1A3A2A"/>
      <name val="Aptos"/>
      <family val="0"/>
      <charset val="1"/>
    </font>
    <font>
      <sz val="11"/>
      <color rgb="FF0F172A"/>
      <name val="Aptos"/>
      <family val="0"/>
      <charset val="1"/>
    </font>
    <font>
      <i val="true"/>
      <sz val="11"/>
      <color rgb="FF6B7280"/>
      <name val="Aptos"/>
      <family val="0"/>
      <charset val="1"/>
    </font>
    <font>
      <i val="true"/>
      <sz val="11"/>
      <color rgb="FF0F172A"/>
      <name val="Aptos"/>
      <family val="0"/>
      <charset val="1"/>
    </font>
    <font>
      <sz val="12"/>
      <color theme="1"/>
      <name val="Aptos"/>
      <family val="0"/>
      <charset val="1"/>
    </font>
    <font>
      <b val="true"/>
      <sz val="11"/>
      <color rgb="FFFFFFFF"/>
      <name val="Aptos"/>
      <family val="0"/>
      <charset val="1"/>
    </font>
    <font>
      <sz val="11"/>
      <color theme="1"/>
      <name val="Aptos"/>
      <family val="0"/>
      <charset val="1"/>
    </font>
    <font>
      <i val="true"/>
      <sz val="11"/>
      <color rgb="FF334155"/>
      <name val="Aptos"/>
      <family val="0"/>
      <charset val="1"/>
    </font>
    <font>
      <i val="true"/>
      <sz val="10"/>
      <color rgb="FF6B7280"/>
      <name val="Aptos"/>
      <family val="0"/>
      <charset val="1"/>
    </font>
    <font>
      <b val="true"/>
      <sz val="11"/>
      <color rgb="FF0F172A"/>
      <name val="Aptos"/>
      <family val="0"/>
      <charset val="1"/>
    </font>
    <font>
      <b val="true"/>
      <i val="true"/>
      <sz val="11"/>
      <color rgb="FF334155"/>
      <name val="Aptos"/>
      <family val="0"/>
      <charset val="1"/>
    </font>
    <font>
      <b val="true"/>
      <sz val="12"/>
      <color rgb="FF0F172A"/>
      <name val="Aptos"/>
      <family val="0"/>
      <charset val="1"/>
    </font>
    <font>
      <b val="true"/>
      <i val="true"/>
      <sz val="12"/>
      <color rgb="FF334155"/>
      <name val="Aptos"/>
      <family val="0"/>
      <charset val="1"/>
    </font>
    <font>
      <b val="true"/>
      <sz val="11"/>
      <color theme="1"/>
      <name val="Aptos"/>
      <family val="0"/>
      <charset val="1"/>
    </font>
    <font>
      <b val="true"/>
      <sz val="12"/>
      <color theme="1"/>
      <name val="Aptos"/>
      <family val="0"/>
      <charset val="1"/>
    </font>
    <font>
      <b val="true"/>
      <i val="true"/>
      <sz val="11"/>
      <color rgb="FF1A3A2A"/>
      <name val="Aptos"/>
      <family val="0"/>
      <charset val="1"/>
    </font>
  </fonts>
  <fills count="6">
    <fill>
      <patternFill patternType="none"/>
    </fill>
    <fill>
      <patternFill patternType="gray125"/>
    </fill>
    <fill>
      <patternFill patternType="solid">
        <fgColor rgb="FF1A3A2A"/>
        <bgColor rgb="FF333300"/>
      </patternFill>
    </fill>
    <fill>
      <patternFill patternType="solid">
        <fgColor rgb="FFECFDF5"/>
        <bgColor rgb="FFF8FAFC"/>
      </patternFill>
    </fill>
    <fill>
      <patternFill patternType="solid">
        <fgColor rgb="FFFFFFFF"/>
        <bgColor rgb="FFF8FAFC"/>
      </patternFill>
    </fill>
    <fill>
      <patternFill patternType="solid">
        <fgColor rgb="FFF8FAFC"/>
        <bgColor rgb="FFFFFFFF"/>
      </patternFill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 style="dashed">
        <color rgb="FFD1D5DB"/>
      </top>
      <bottom/>
      <diagonal/>
    </border>
    <border diagonalUp="false" diagonalDown="false">
      <left/>
      <right/>
      <top style="dashed">
        <color rgb="FFD1D5DB"/>
      </top>
      <bottom style="dashed">
        <color rgb="FFD1D5DB"/>
      </bottom>
      <diagonal/>
    </border>
    <border diagonalUp="false" diagonalDown="false">
      <left/>
      <right/>
      <top style="thin">
        <color rgb="FFA7F3D0"/>
      </top>
      <bottom style="thick">
        <color rgb="FF1A3A2A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8" fillId="5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6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6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5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2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5" fillId="5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7" fillId="5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">
    <dxf>
      <font>
        <color rgb="FFDC2626"/>
      </font>
    </dxf>
  </dxfs>
  <colors>
    <indexedColors>
      <rgbColor rgb="FF000000"/>
      <rgbColor rgb="FFFFFFFF"/>
      <rgbColor rgb="FFDC2626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8FAFC"/>
      <rgbColor rgb="FFECFDF5"/>
      <rgbColor rgb="FF660066"/>
      <rgbColor rgb="FFFF8080"/>
      <rgbColor rgb="FF0066CC"/>
      <rgbColor rgb="FFD1D5DB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A7F3D0"/>
      <rgbColor rgb="FFFFFF99"/>
      <rgbColor rgb="FF99CCFF"/>
      <rgbColor rgb="FFFF99CC"/>
      <rgbColor rgb="FFCC99FF"/>
      <rgbColor rgb="FFFFCC99"/>
      <rgbColor rgb="FF3366FF"/>
      <rgbColor rgb="FF34D399"/>
      <rgbColor rgb="FF99CC00"/>
      <rgbColor rgb="FFFFCC00"/>
      <rgbColor rgb="FFFF9900"/>
      <rgbColor rgb="FFFF6600"/>
      <rgbColor rgb="FF6B7280"/>
      <rgbColor rgb="FF969696"/>
      <rgbColor rgb="FF003366"/>
      <rgbColor rgb="FF339966"/>
      <rgbColor rgb="FF0F172A"/>
      <rgbColor rgb="FF333300"/>
      <rgbColor rgb="FF993300"/>
      <rgbColor rgb="FF993366"/>
      <rgbColor rgb="FF334155"/>
      <rgbColor rgb="FF1A3A2A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 pitchFamily="0" charset="1"/>
        <a:ea typeface=""/>
        <a:cs typeface=""/>
      </a:majorFont>
      <a:minorFont>
        <a:latin typeface="Aptos Narrow" panose="0211000402020202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  <a:ln w="2540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1A3A2A"/>
    <pageSetUpPr fitToPage="false"/>
  </sheetPr>
  <dimension ref="A1:G4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1" topLeftCell="A45" activePane="bottomLeft" state="frozen"/>
      <selection pane="topLeft" activeCell="A1" activeCellId="0" sqref="A1"/>
      <selection pane="bottomLeft" activeCell="A1" activeCellId="0" sqref="A1"/>
    </sheetView>
  </sheetViews>
  <sheetFormatPr defaultColWidth="10.69140625" defaultRowHeight="15.75" customHeight="false" zeroHeight="false" outlineLevelRow="0" outlineLevelCol="0"/>
  <cols>
    <col collapsed="false" customWidth="true" hidden="false" outlineLevel="0" max="1" min="1" style="0" width="43.33"/>
    <col collapsed="false" customWidth="true" hidden="false" outlineLevel="0" max="7" min="2" style="0" width="18.33"/>
  </cols>
  <sheetData>
    <row r="1" customFormat="false" ht="30" hidden="false" customHeight="true" outlineLevel="0" collapsed="false">
      <c r="A1" s="1" t="s">
        <v>0</v>
      </c>
      <c r="B1" s="1"/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</row>
    <row r="2" customFormat="false" ht="15.75" hidden="false" customHeight="false" outlineLevel="0" collapsed="false">
      <c r="A2" s="3"/>
      <c r="B2" s="3"/>
      <c r="C2" s="3" t="s">
        <v>6</v>
      </c>
      <c r="D2" s="3" t="s">
        <v>2</v>
      </c>
      <c r="E2" s="3" t="s">
        <v>3</v>
      </c>
      <c r="F2" s="3" t="s">
        <v>4</v>
      </c>
      <c r="G2" s="3" t="s">
        <v>5</v>
      </c>
    </row>
    <row r="3" customFormat="false" ht="15.75" hidden="false" customHeight="false" outlineLevel="0" collapsed="false">
      <c r="A3" s="4" t="s">
        <v>7</v>
      </c>
      <c r="B3" s="4"/>
      <c r="C3" s="4"/>
      <c r="D3" s="4"/>
      <c r="E3" s="4"/>
      <c r="F3" s="4"/>
      <c r="G3" s="4"/>
    </row>
    <row r="4" customFormat="false" ht="15.75" hidden="false" customHeight="false" outlineLevel="0" collapsed="false">
      <c r="A4" s="5" t="s">
        <v>8</v>
      </c>
      <c r="B4" s="6" t="s">
        <v>9</v>
      </c>
      <c r="C4" s="7" t="n">
        <v>1500000</v>
      </c>
      <c r="D4" s="8"/>
      <c r="E4" s="8"/>
      <c r="F4" s="8"/>
      <c r="G4" s="8"/>
    </row>
    <row r="5" customFormat="false" ht="15.75" hidden="false" customHeight="false" outlineLevel="0" collapsed="false">
      <c r="A5" s="5" t="s">
        <v>10</v>
      </c>
      <c r="B5" s="6" t="s">
        <v>11</v>
      </c>
      <c r="C5" s="9" t="s">
        <v>12</v>
      </c>
      <c r="D5" s="10" t="n">
        <v>0.05</v>
      </c>
      <c r="E5" s="10" t="n">
        <v>0.04</v>
      </c>
      <c r="F5" s="10" t="n">
        <v>0.035</v>
      </c>
      <c r="G5" s="10" t="n">
        <v>0.03</v>
      </c>
    </row>
    <row r="6" customFormat="false" ht="15.75" hidden="false" customHeight="false" outlineLevel="0" collapsed="false">
      <c r="A6" s="5" t="s">
        <v>13</v>
      </c>
      <c r="B6" s="6" t="s">
        <v>9</v>
      </c>
      <c r="C6" s="11" t="n">
        <v>28</v>
      </c>
      <c r="D6" s="11" t="n">
        <v>29</v>
      </c>
      <c r="E6" s="11" t="n">
        <v>30</v>
      </c>
      <c r="F6" s="11" t="n">
        <v>31</v>
      </c>
      <c r="G6" s="11" t="n">
        <v>32</v>
      </c>
    </row>
    <row r="7" customFormat="false" ht="15.75" hidden="false" customHeight="false" outlineLevel="0" collapsed="false">
      <c r="A7" s="5" t="s">
        <v>14</v>
      </c>
      <c r="B7" s="6" t="s">
        <v>15</v>
      </c>
      <c r="C7" s="12" t="n">
        <v>150</v>
      </c>
      <c r="D7" s="12" t="n">
        <v>155</v>
      </c>
      <c r="E7" s="12" t="n">
        <v>160</v>
      </c>
      <c r="F7" s="12" t="n">
        <v>162</v>
      </c>
      <c r="G7" s="12" t="n">
        <v>165</v>
      </c>
    </row>
    <row r="8" customFormat="false" ht="15.75" hidden="false" customHeight="false" outlineLevel="0" collapsed="false">
      <c r="A8" s="5" t="s">
        <v>16</v>
      </c>
      <c r="B8" s="6" t="s">
        <v>17</v>
      </c>
      <c r="C8" s="13" t="n">
        <v>360</v>
      </c>
      <c r="D8" s="13" t="n">
        <v>360</v>
      </c>
      <c r="E8" s="13" t="n">
        <v>360</v>
      </c>
      <c r="F8" s="13" t="n">
        <v>360</v>
      </c>
      <c r="G8" s="13" t="n">
        <v>360</v>
      </c>
    </row>
    <row r="9" customFormat="false" ht="15.75" hidden="false" customHeight="false" outlineLevel="0" collapsed="false">
      <c r="A9" s="14"/>
      <c r="B9" s="14"/>
      <c r="C9" s="14"/>
      <c r="D9" s="14"/>
      <c r="E9" s="14"/>
      <c r="F9" s="14"/>
      <c r="G9" s="14"/>
    </row>
    <row r="10" customFormat="false" ht="15.75" hidden="false" customHeight="false" outlineLevel="0" collapsed="false">
      <c r="A10" s="4" t="s">
        <v>18</v>
      </c>
      <c r="B10" s="4"/>
      <c r="C10" s="4"/>
      <c r="D10" s="4"/>
      <c r="E10" s="4"/>
      <c r="F10" s="4"/>
      <c r="G10" s="4"/>
    </row>
    <row r="11" customFormat="false" ht="15.75" hidden="false" customHeight="false" outlineLevel="0" collapsed="false">
      <c r="A11" s="5" t="s">
        <v>19</v>
      </c>
      <c r="B11" s="6" t="s">
        <v>11</v>
      </c>
      <c r="C11" s="15" t="n">
        <v>0.3</v>
      </c>
      <c r="D11" s="15" t="n">
        <v>0.295</v>
      </c>
      <c r="E11" s="15" t="n">
        <v>0.29</v>
      </c>
      <c r="F11" s="15" t="n">
        <v>0.285</v>
      </c>
      <c r="G11" s="15" t="n">
        <v>0.28</v>
      </c>
    </row>
    <row r="12" customFormat="false" ht="15.75" hidden="false" customHeight="false" outlineLevel="0" collapsed="false">
      <c r="A12" s="5" t="s">
        <v>20</v>
      </c>
      <c r="B12" s="6" t="s">
        <v>11</v>
      </c>
      <c r="C12" s="10" t="n">
        <v>0.22</v>
      </c>
      <c r="D12" s="10" t="n">
        <v>0.215</v>
      </c>
      <c r="E12" s="10" t="n">
        <v>0.21</v>
      </c>
      <c r="F12" s="10" t="n">
        <v>0.21</v>
      </c>
      <c r="G12" s="10" t="n">
        <v>0.2</v>
      </c>
    </row>
    <row r="13" customFormat="false" ht="15.75" hidden="false" customHeight="false" outlineLevel="0" collapsed="false">
      <c r="A13" s="5" t="s">
        <v>21</v>
      </c>
      <c r="B13" s="6" t="s">
        <v>11</v>
      </c>
      <c r="C13" s="16" t="n">
        <v>0.75</v>
      </c>
      <c r="D13" s="16" t="n">
        <v>0.75</v>
      </c>
      <c r="E13" s="16" t="n">
        <v>0.74</v>
      </c>
      <c r="F13" s="16" t="n">
        <v>0.74</v>
      </c>
      <c r="G13" s="16" t="n">
        <v>0.73</v>
      </c>
    </row>
    <row r="14" customFormat="false" ht="15.75" hidden="false" customHeight="false" outlineLevel="0" collapsed="false">
      <c r="A14" s="14"/>
      <c r="B14" s="14"/>
      <c r="C14" s="14"/>
      <c r="D14" s="14"/>
      <c r="E14" s="14"/>
      <c r="F14" s="14"/>
      <c r="G14" s="14"/>
    </row>
    <row r="15" customFormat="false" ht="15.75" hidden="false" customHeight="false" outlineLevel="0" collapsed="false">
      <c r="A15" s="4" t="s">
        <v>22</v>
      </c>
      <c r="B15" s="4"/>
      <c r="C15" s="4"/>
      <c r="D15" s="4"/>
      <c r="E15" s="4"/>
      <c r="F15" s="4"/>
      <c r="G15" s="4"/>
    </row>
    <row r="16" customFormat="false" ht="15.75" hidden="false" customHeight="false" outlineLevel="0" collapsed="false">
      <c r="A16" s="5" t="s">
        <v>23</v>
      </c>
      <c r="B16" s="6" t="s">
        <v>11</v>
      </c>
      <c r="C16" s="15" t="n">
        <v>0.3</v>
      </c>
      <c r="D16" s="15" t="n">
        <v>0.295</v>
      </c>
      <c r="E16" s="15" t="n">
        <v>0.29</v>
      </c>
      <c r="F16" s="15" t="n">
        <v>0.285</v>
      </c>
      <c r="G16" s="15" t="n">
        <v>0.28</v>
      </c>
    </row>
    <row r="17" customFormat="false" ht="15.75" hidden="false" customHeight="false" outlineLevel="0" collapsed="false">
      <c r="A17" s="5" t="s">
        <v>24</v>
      </c>
      <c r="B17" s="6" t="s">
        <v>9</v>
      </c>
      <c r="C17" s="17" t="n">
        <v>180000</v>
      </c>
      <c r="D17" s="17" t="n">
        <v>185400</v>
      </c>
      <c r="E17" s="17" t="n">
        <v>190962</v>
      </c>
      <c r="F17" s="17" t="n">
        <v>196691</v>
      </c>
      <c r="G17" s="17" t="n">
        <v>202591</v>
      </c>
    </row>
    <row r="18" customFormat="false" ht="15.75" hidden="false" customHeight="false" outlineLevel="0" collapsed="false">
      <c r="A18" s="5" t="s">
        <v>25</v>
      </c>
      <c r="B18" s="6" t="s">
        <v>9</v>
      </c>
      <c r="C18" s="17" t="n">
        <v>120000</v>
      </c>
      <c r="D18" s="17" t="n">
        <v>123600</v>
      </c>
      <c r="E18" s="17" t="n">
        <v>127308</v>
      </c>
      <c r="F18" s="17" t="n">
        <v>131127</v>
      </c>
      <c r="G18" s="17" t="n">
        <v>135061</v>
      </c>
    </row>
    <row r="19" customFormat="false" ht="15.75" hidden="false" customHeight="false" outlineLevel="0" collapsed="false">
      <c r="A19" s="5" t="s">
        <v>26</v>
      </c>
      <c r="B19" s="6" t="s">
        <v>11</v>
      </c>
      <c r="C19" s="10" t="n">
        <v>0.04</v>
      </c>
      <c r="D19" s="10" t="n">
        <v>0.04</v>
      </c>
      <c r="E19" s="10" t="n">
        <v>0.038</v>
      </c>
      <c r="F19" s="10" t="n">
        <v>0.038</v>
      </c>
      <c r="G19" s="10" t="n">
        <v>0.035</v>
      </c>
    </row>
    <row r="20" customFormat="false" ht="15.75" hidden="false" customHeight="false" outlineLevel="0" collapsed="false">
      <c r="A20" s="5" t="s">
        <v>27</v>
      </c>
      <c r="B20" s="6" t="s">
        <v>11</v>
      </c>
      <c r="C20" s="10" t="n">
        <v>0.03</v>
      </c>
      <c r="D20" s="10" t="n">
        <v>0.03</v>
      </c>
      <c r="E20" s="10" t="n">
        <v>0.025</v>
      </c>
      <c r="F20" s="10" t="n">
        <v>0.025</v>
      </c>
      <c r="G20" s="10" t="n">
        <v>0.02</v>
      </c>
    </row>
    <row r="21" customFormat="false" ht="15.75" hidden="false" customHeight="false" outlineLevel="0" collapsed="false">
      <c r="A21" s="5" t="s">
        <v>28</v>
      </c>
      <c r="B21" s="6" t="s">
        <v>9</v>
      </c>
      <c r="C21" s="17" t="n">
        <v>24000</v>
      </c>
      <c r="D21" s="17" t="n">
        <v>24720</v>
      </c>
      <c r="E21" s="17" t="n">
        <v>25462</v>
      </c>
      <c r="F21" s="17" t="n">
        <v>26225</v>
      </c>
      <c r="G21" s="17" t="n">
        <v>27012</v>
      </c>
    </row>
    <row r="22" customFormat="false" ht="15.75" hidden="false" customHeight="false" outlineLevel="0" collapsed="false">
      <c r="A22" s="5" t="s">
        <v>29</v>
      </c>
      <c r="B22" s="6" t="s">
        <v>11</v>
      </c>
      <c r="C22" s="10" t="n">
        <v>0.02</v>
      </c>
      <c r="D22" s="10" t="n">
        <v>0.02</v>
      </c>
      <c r="E22" s="10" t="n">
        <v>0.02</v>
      </c>
      <c r="F22" s="10" t="n">
        <v>0.02</v>
      </c>
      <c r="G22" s="10" t="n">
        <v>0.02</v>
      </c>
    </row>
    <row r="23" customFormat="false" ht="15.75" hidden="false" customHeight="false" outlineLevel="0" collapsed="false">
      <c r="A23" s="5" t="s">
        <v>30</v>
      </c>
      <c r="B23" s="6" t="s">
        <v>11</v>
      </c>
      <c r="C23" s="10" t="n">
        <v>0.015</v>
      </c>
      <c r="D23" s="10" t="n">
        <v>0.015</v>
      </c>
      <c r="E23" s="10" t="n">
        <v>0.015</v>
      </c>
      <c r="F23" s="10" t="n">
        <v>0.015</v>
      </c>
      <c r="G23" s="10" t="n">
        <v>0.015</v>
      </c>
    </row>
    <row r="24" customFormat="false" ht="15.75" hidden="false" customHeight="false" outlineLevel="0" collapsed="false">
      <c r="A24" s="5" t="s">
        <v>31</v>
      </c>
      <c r="B24" s="6" t="s">
        <v>11</v>
      </c>
      <c r="C24" s="10" t="n">
        <v>0.02</v>
      </c>
      <c r="D24" s="10" t="n">
        <v>0.02</v>
      </c>
      <c r="E24" s="10" t="n">
        <v>0.02</v>
      </c>
      <c r="F24" s="10" t="n">
        <v>0.02</v>
      </c>
      <c r="G24" s="10" t="n">
        <v>0.02</v>
      </c>
    </row>
    <row r="25" customFormat="false" ht="15.75" hidden="false" customHeight="false" outlineLevel="0" collapsed="false">
      <c r="A25" s="5" t="s">
        <v>32</v>
      </c>
      <c r="B25" s="6" t="s">
        <v>11</v>
      </c>
      <c r="C25" s="16" t="n">
        <v>0.03</v>
      </c>
      <c r="D25" s="16" t="n">
        <v>0.03</v>
      </c>
      <c r="E25" s="16" t="n">
        <v>0.03</v>
      </c>
      <c r="F25" s="16" t="n">
        <v>0.025</v>
      </c>
      <c r="G25" s="16" t="n">
        <v>0.025</v>
      </c>
    </row>
    <row r="26" customFormat="false" ht="15.75" hidden="false" customHeight="false" outlineLevel="0" collapsed="false">
      <c r="A26" s="14"/>
      <c r="B26" s="14"/>
      <c r="C26" s="14"/>
      <c r="D26" s="14"/>
      <c r="E26" s="14"/>
      <c r="F26" s="14"/>
      <c r="G26" s="14"/>
    </row>
    <row r="27" customFormat="false" ht="15.75" hidden="false" customHeight="false" outlineLevel="0" collapsed="false">
      <c r="A27" s="4" t="s">
        <v>33</v>
      </c>
      <c r="B27" s="4"/>
      <c r="C27" s="4"/>
      <c r="D27" s="4"/>
      <c r="E27" s="4"/>
      <c r="F27" s="4"/>
      <c r="G27" s="4"/>
    </row>
    <row r="28" customFormat="false" ht="15.75" hidden="false" customHeight="false" outlineLevel="0" collapsed="false">
      <c r="A28" s="5" t="s">
        <v>34</v>
      </c>
      <c r="B28" s="6" t="s">
        <v>9</v>
      </c>
      <c r="C28" s="7" t="n">
        <v>500000</v>
      </c>
      <c r="D28" s="7" t="n">
        <v>0</v>
      </c>
      <c r="E28" s="7" t="n">
        <v>0</v>
      </c>
      <c r="F28" s="7" t="n">
        <v>0</v>
      </c>
      <c r="G28" s="7" t="n">
        <v>0</v>
      </c>
    </row>
    <row r="29" customFormat="false" ht="15.75" hidden="false" customHeight="false" outlineLevel="0" collapsed="false">
      <c r="A29" s="5" t="s">
        <v>35</v>
      </c>
      <c r="B29" s="6" t="s">
        <v>9</v>
      </c>
      <c r="C29" s="17" t="n">
        <v>25000</v>
      </c>
      <c r="D29" s="17" t="n">
        <v>30000</v>
      </c>
      <c r="E29" s="17" t="n">
        <v>35000</v>
      </c>
      <c r="F29" s="17" t="n">
        <v>35000</v>
      </c>
      <c r="G29" s="17" t="n">
        <v>40000</v>
      </c>
    </row>
    <row r="30" customFormat="false" ht="15.75" hidden="false" customHeight="false" outlineLevel="0" collapsed="false">
      <c r="A30" s="5" t="s">
        <v>36</v>
      </c>
      <c r="B30" s="6" t="s">
        <v>9</v>
      </c>
      <c r="C30" s="17" t="n">
        <v>0</v>
      </c>
      <c r="D30" s="17" t="n">
        <v>0</v>
      </c>
      <c r="E30" s="17" t="n">
        <v>75000</v>
      </c>
      <c r="F30" s="17" t="n">
        <v>0</v>
      </c>
      <c r="G30" s="17" t="n">
        <v>0</v>
      </c>
    </row>
    <row r="31" customFormat="false" ht="15.75" hidden="false" customHeight="false" outlineLevel="0" collapsed="false">
      <c r="A31" s="5" t="s">
        <v>37</v>
      </c>
      <c r="B31" s="6" t="s">
        <v>38</v>
      </c>
      <c r="C31" s="13" t="n">
        <v>10</v>
      </c>
      <c r="D31" s="13" t="n">
        <v>10</v>
      </c>
      <c r="E31" s="13" t="n">
        <v>10</v>
      </c>
      <c r="F31" s="13" t="n">
        <v>10</v>
      </c>
      <c r="G31" s="13" t="n">
        <v>10</v>
      </c>
    </row>
    <row r="32" customFormat="false" ht="15.75" hidden="false" customHeight="false" outlineLevel="0" collapsed="false">
      <c r="A32" s="5" t="s">
        <v>39</v>
      </c>
      <c r="B32" s="14"/>
      <c r="C32" s="6" t="s">
        <v>40</v>
      </c>
      <c r="D32" s="14"/>
      <c r="E32" s="14"/>
      <c r="F32" s="14"/>
      <c r="G32" s="14"/>
    </row>
    <row r="33" customFormat="false" ht="15.75" hidden="false" customHeight="false" outlineLevel="0" collapsed="false">
      <c r="A33" s="14"/>
      <c r="B33" s="14"/>
      <c r="C33" s="14"/>
      <c r="D33" s="14"/>
      <c r="E33" s="14"/>
      <c r="F33" s="14"/>
      <c r="G33" s="14"/>
    </row>
    <row r="34" customFormat="false" ht="15.75" hidden="false" customHeight="false" outlineLevel="0" collapsed="false">
      <c r="A34" s="4" t="s">
        <v>41</v>
      </c>
      <c r="B34" s="4"/>
      <c r="C34" s="4"/>
      <c r="D34" s="4"/>
      <c r="E34" s="4"/>
      <c r="F34" s="4"/>
      <c r="G34" s="4"/>
    </row>
    <row r="35" customFormat="false" ht="15.75" hidden="false" customHeight="false" outlineLevel="0" collapsed="false">
      <c r="A35" s="5" t="s">
        <v>42</v>
      </c>
      <c r="B35" s="6" t="s">
        <v>9</v>
      </c>
      <c r="C35" s="7" t="n">
        <v>400000</v>
      </c>
      <c r="D35" s="8"/>
      <c r="E35" s="8"/>
      <c r="F35" s="8"/>
      <c r="G35" s="8"/>
    </row>
    <row r="36" customFormat="false" ht="15.75" hidden="false" customHeight="false" outlineLevel="0" collapsed="false">
      <c r="A36" s="5" t="s">
        <v>43</v>
      </c>
      <c r="B36" s="6" t="s">
        <v>11</v>
      </c>
      <c r="C36" s="10" t="n">
        <v>0.065</v>
      </c>
      <c r="D36" s="10" t="n">
        <v>0.065</v>
      </c>
      <c r="E36" s="10" t="n">
        <v>0.065</v>
      </c>
      <c r="F36" s="10" t="n">
        <v>0.065</v>
      </c>
      <c r="G36" s="10" t="n">
        <v>0.065</v>
      </c>
    </row>
    <row r="37" customFormat="false" ht="15.75" hidden="false" customHeight="false" outlineLevel="0" collapsed="false">
      <c r="A37" s="5" t="s">
        <v>44</v>
      </c>
      <c r="B37" s="6" t="s">
        <v>38</v>
      </c>
      <c r="C37" s="18" t="n">
        <v>10</v>
      </c>
      <c r="D37" s="18" t="n">
        <v>10</v>
      </c>
      <c r="E37" s="18" t="n">
        <v>10</v>
      </c>
      <c r="F37" s="18" t="n">
        <v>10</v>
      </c>
      <c r="G37" s="18" t="n">
        <v>10</v>
      </c>
    </row>
    <row r="38" customFormat="false" ht="15.75" hidden="false" customHeight="false" outlineLevel="0" collapsed="false">
      <c r="A38" s="5" t="s">
        <v>45</v>
      </c>
      <c r="B38" s="6" t="s">
        <v>9</v>
      </c>
      <c r="C38" s="19" t="n">
        <v>40000</v>
      </c>
      <c r="D38" s="19" t="n">
        <v>40000</v>
      </c>
      <c r="E38" s="19" t="n">
        <v>40000</v>
      </c>
      <c r="F38" s="19" t="n">
        <v>40000</v>
      </c>
      <c r="G38" s="19" t="n">
        <v>40000</v>
      </c>
    </row>
    <row r="39" customFormat="false" ht="15.75" hidden="false" customHeight="false" outlineLevel="0" collapsed="false">
      <c r="A39" s="14"/>
      <c r="B39" s="14"/>
      <c r="C39" s="14"/>
      <c r="D39" s="14"/>
      <c r="E39" s="14"/>
      <c r="F39" s="14"/>
      <c r="G39" s="14"/>
    </row>
    <row r="40" customFormat="false" ht="15.75" hidden="false" customHeight="false" outlineLevel="0" collapsed="false">
      <c r="A40" s="4" t="s">
        <v>46</v>
      </c>
      <c r="B40" s="4"/>
      <c r="C40" s="4"/>
      <c r="D40" s="4"/>
      <c r="E40" s="4"/>
      <c r="F40" s="4"/>
      <c r="G40" s="4"/>
    </row>
    <row r="41" customFormat="false" ht="15.75" hidden="false" customHeight="false" outlineLevel="0" collapsed="false">
      <c r="A41" s="5" t="s">
        <v>47</v>
      </c>
      <c r="B41" s="6" t="s">
        <v>17</v>
      </c>
      <c r="C41" s="20" t="n">
        <v>5</v>
      </c>
      <c r="D41" s="20" t="n">
        <v>5</v>
      </c>
      <c r="E41" s="20" t="n">
        <v>5</v>
      </c>
      <c r="F41" s="20" t="n">
        <v>5</v>
      </c>
      <c r="G41" s="20" t="n">
        <v>5</v>
      </c>
    </row>
    <row r="42" customFormat="false" ht="15.75" hidden="false" customHeight="false" outlineLevel="0" collapsed="false">
      <c r="A42" s="5" t="s">
        <v>48</v>
      </c>
      <c r="B42" s="6" t="s">
        <v>17</v>
      </c>
      <c r="C42" s="12" t="n">
        <v>7</v>
      </c>
      <c r="D42" s="12" t="n">
        <v>7</v>
      </c>
      <c r="E42" s="12" t="n">
        <v>7</v>
      </c>
      <c r="F42" s="12" t="n">
        <v>7</v>
      </c>
      <c r="G42" s="12" t="n">
        <v>7</v>
      </c>
    </row>
    <row r="43" customFormat="false" ht="15.75" hidden="false" customHeight="false" outlineLevel="0" collapsed="false">
      <c r="A43" s="5" t="s">
        <v>49</v>
      </c>
      <c r="B43" s="6" t="s">
        <v>17</v>
      </c>
      <c r="C43" s="13" t="n">
        <v>20</v>
      </c>
      <c r="D43" s="13" t="n">
        <v>20</v>
      </c>
      <c r="E43" s="13" t="n">
        <v>20</v>
      </c>
      <c r="F43" s="13" t="n">
        <v>20</v>
      </c>
      <c r="G43" s="13" t="n">
        <v>20</v>
      </c>
    </row>
    <row r="44" customFormat="false" ht="15.75" hidden="false" customHeight="false" outlineLevel="0" collapsed="false">
      <c r="A44" s="14"/>
      <c r="B44" s="14"/>
      <c r="C44" s="14"/>
      <c r="D44" s="14"/>
      <c r="E44" s="14"/>
      <c r="F44" s="14"/>
      <c r="G44" s="14"/>
    </row>
    <row r="45" customFormat="false" ht="15.75" hidden="false" customHeight="false" outlineLevel="0" collapsed="false">
      <c r="A45" s="4" t="s">
        <v>50</v>
      </c>
      <c r="B45" s="4"/>
      <c r="C45" s="4"/>
      <c r="D45" s="4"/>
      <c r="E45" s="4"/>
      <c r="F45" s="4"/>
      <c r="G45" s="4"/>
    </row>
    <row r="46" customFormat="false" ht="15.75" hidden="false" customHeight="false" outlineLevel="0" collapsed="false">
      <c r="A46" s="5" t="s">
        <v>51</v>
      </c>
      <c r="B46" s="6" t="s">
        <v>11</v>
      </c>
      <c r="C46" s="15" t="n">
        <v>0.25</v>
      </c>
      <c r="D46" s="15" t="n">
        <v>0.25</v>
      </c>
      <c r="E46" s="15" t="n">
        <v>0.25</v>
      </c>
      <c r="F46" s="15" t="n">
        <v>0.25</v>
      </c>
      <c r="G46" s="15" t="n">
        <v>0.25</v>
      </c>
    </row>
    <row r="47" customFormat="false" ht="15.75" hidden="false" customHeight="false" outlineLevel="0" collapsed="false">
      <c r="A47" s="5" t="s">
        <v>52</v>
      </c>
      <c r="B47" s="6" t="s">
        <v>9</v>
      </c>
      <c r="C47" s="17" t="n">
        <v>100000</v>
      </c>
      <c r="D47" s="21"/>
      <c r="E47" s="21"/>
      <c r="F47" s="21"/>
      <c r="G47" s="21"/>
    </row>
    <row r="48" customFormat="false" ht="15.75" hidden="false" customHeight="false" outlineLevel="0" collapsed="false">
      <c r="A48" s="5" t="s">
        <v>53</v>
      </c>
      <c r="B48" s="6" t="s">
        <v>9</v>
      </c>
      <c r="C48" s="17" t="n">
        <v>200000</v>
      </c>
      <c r="D48" s="17" t="n">
        <v>0</v>
      </c>
      <c r="E48" s="17" t="n">
        <v>0</v>
      </c>
      <c r="F48" s="17" t="n">
        <v>0</v>
      </c>
      <c r="G48" s="17" t="n">
        <v>0</v>
      </c>
    </row>
    <row r="49" customFormat="false" ht="15.75" hidden="false" customHeight="false" outlineLevel="0" collapsed="false">
      <c r="A49" s="5" t="s">
        <v>54</v>
      </c>
      <c r="B49" s="6" t="s">
        <v>11</v>
      </c>
      <c r="C49" s="16" t="n">
        <v>0</v>
      </c>
      <c r="D49" s="16" t="n">
        <v>0.1</v>
      </c>
      <c r="E49" s="16" t="n">
        <v>0.15</v>
      </c>
      <c r="F49" s="16" t="n">
        <v>0.2</v>
      </c>
      <c r="G49" s="16" t="n">
        <v>0.25</v>
      </c>
    </row>
  </sheetData>
  <mergeCells count="1">
    <mergeCell ref="A1:B1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1A3A2A"/>
    <pageSetUpPr fitToPage="false"/>
  </sheetPr>
  <dimension ref="A1:G4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1" topLeftCell="A2" activePane="bottomLeft" state="frozen"/>
      <selection pane="topLeft" activeCell="A1" activeCellId="0" sqref="A1"/>
      <selection pane="bottomLeft" activeCell="A1" activeCellId="0" sqref="A1"/>
    </sheetView>
  </sheetViews>
  <sheetFormatPr defaultColWidth="10.69140625" defaultRowHeight="15.75" customHeight="false" zeroHeight="false" outlineLevelRow="0" outlineLevelCol="0"/>
  <cols>
    <col collapsed="false" customWidth="true" hidden="false" outlineLevel="0" max="1" min="1" style="0" width="43.33"/>
    <col collapsed="false" customWidth="true" hidden="false" outlineLevel="0" max="7" min="2" style="0" width="18.33"/>
  </cols>
  <sheetData>
    <row r="1" customFormat="false" ht="30" hidden="false" customHeight="true" outlineLevel="0" collapsed="false">
      <c r="A1" s="2" t="s">
        <v>55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2"/>
    </row>
    <row r="2" customFormat="false" ht="15.75" hidden="false" customHeight="false" outlineLevel="0" collapsed="false">
      <c r="A2" s="3"/>
      <c r="B2" s="3" t="s">
        <v>6</v>
      </c>
      <c r="C2" s="3" t="s">
        <v>2</v>
      </c>
      <c r="D2" s="3" t="s">
        <v>3</v>
      </c>
      <c r="E2" s="3" t="s">
        <v>4</v>
      </c>
      <c r="F2" s="3" t="s">
        <v>5</v>
      </c>
      <c r="G2" s="23"/>
    </row>
    <row r="3" customFormat="false" ht="15.75" hidden="false" customHeight="false" outlineLevel="0" collapsed="false">
      <c r="A3" s="4" t="s">
        <v>56</v>
      </c>
      <c r="B3" s="4"/>
      <c r="C3" s="4"/>
      <c r="D3" s="4"/>
      <c r="E3" s="4"/>
      <c r="F3" s="4"/>
      <c r="G3" s="4"/>
    </row>
    <row r="4" customFormat="false" ht="15.75" hidden="false" customHeight="false" outlineLevel="0" collapsed="false">
      <c r="A4" s="5" t="s">
        <v>57</v>
      </c>
      <c r="B4" s="24" t="n">
        <f aca="false">'Assumptions &amp; Inputs'!C4</f>
        <v>1500000</v>
      </c>
      <c r="C4" s="24" t="n">
        <f aca="false">B4*(1+'Assumptions &amp; Inputs'!D5)</f>
        <v>1575000</v>
      </c>
      <c r="D4" s="24" t="n">
        <f aca="false">C4*(1+'Assumptions &amp; Inputs'!E5)</f>
        <v>1638000</v>
      </c>
      <c r="E4" s="24" t="n">
        <f aca="false">D4*(1+'Assumptions &amp; Inputs'!F5)</f>
        <v>1695330</v>
      </c>
      <c r="F4" s="24" t="n">
        <f aca="false">E4*(1+'Assumptions &amp; Inputs'!G5)</f>
        <v>1746189.9</v>
      </c>
      <c r="G4" s="23"/>
    </row>
    <row r="5" customFormat="false" ht="15.75" hidden="false" customHeight="false" outlineLevel="0" collapsed="false">
      <c r="A5" s="25" t="s">
        <v>58</v>
      </c>
      <c r="B5" s="26" t="s">
        <v>12</v>
      </c>
      <c r="C5" s="27" t="n">
        <f aca="false">C4/B4-1</f>
        <v>0.05</v>
      </c>
      <c r="D5" s="27" t="n">
        <f aca="false">D4/C4-1</f>
        <v>0.04</v>
      </c>
      <c r="E5" s="27" t="n">
        <f aca="false">E4/D4-1</f>
        <v>0.0349999999999999</v>
      </c>
      <c r="F5" s="27" t="n">
        <f aca="false">F4/E4-1</f>
        <v>0.03</v>
      </c>
      <c r="G5" s="23"/>
    </row>
    <row r="6" customFormat="false" ht="15.75" hidden="false" customHeight="false" outlineLevel="0" collapsed="false">
      <c r="A6" s="5" t="s">
        <v>59</v>
      </c>
      <c r="B6" s="24" t="n">
        <f aca="false">B4*'Assumptions &amp; Inputs'!C13</f>
        <v>1125000</v>
      </c>
      <c r="C6" s="24" t="n">
        <f aca="false">C4*'Assumptions &amp; Inputs'!D13</f>
        <v>1181250</v>
      </c>
      <c r="D6" s="24" t="n">
        <f aca="false">D4*'Assumptions &amp; Inputs'!E13</f>
        <v>1212120</v>
      </c>
      <c r="E6" s="24" t="n">
        <f aca="false">E4*'Assumptions &amp; Inputs'!F13</f>
        <v>1254544.2</v>
      </c>
      <c r="F6" s="24" t="n">
        <f aca="false">F4*'Assumptions &amp; Inputs'!G13</f>
        <v>1274718.627</v>
      </c>
      <c r="G6" s="23"/>
    </row>
    <row r="7" customFormat="false" ht="15.75" hidden="false" customHeight="false" outlineLevel="0" collapsed="false">
      <c r="A7" s="5" t="s">
        <v>60</v>
      </c>
      <c r="B7" s="24" t="n">
        <f aca="false">B4*(1-'Assumptions &amp; Inputs'!C13)</f>
        <v>375000</v>
      </c>
      <c r="C7" s="24" t="n">
        <f aca="false">C4*(1-'Assumptions &amp; Inputs'!D13)</f>
        <v>393750</v>
      </c>
      <c r="D7" s="24" t="n">
        <f aca="false">D4*(1-'Assumptions &amp; Inputs'!E13)</f>
        <v>425880</v>
      </c>
      <c r="E7" s="24" t="n">
        <f aca="false">E4*(1-'Assumptions &amp; Inputs'!F13)</f>
        <v>440785.8</v>
      </c>
      <c r="F7" s="24" t="n">
        <f aca="false">F4*(1-'Assumptions &amp; Inputs'!G13)</f>
        <v>471471.273</v>
      </c>
      <c r="G7" s="23"/>
    </row>
    <row r="8" customFormat="false" ht="15.75" hidden="false" customHeight="false" outlineLevel="0" collapsed="false">
      <c r="A8" s="23"/>
      <c r="B8" s="23"/>
      <c r="C8" s="23"/>
      <c r="D8" s="23"/>
      <c r="E8" s="23"/>
      <c r="F8" s="23"/>
      <c r="G8" s="23"/>
    </row>
    <row r="9" customFormat="false" ht="15.75" hidden="false" customHeight="false" outlineLevel="0" collapsed="false">
      <c r="A9" s="4" t="s">
        <v>61</v>
      </c>
      <c r="B9" s="4"/>
      <c r="C9" s="4"/>
      <c r="D9" s="4"/>
      <c r="E9" s="4"/>
      <c r="F9" s="4"/>
      <c r="G9" s="4"/>
    </row>
    <row r="10" customFormat="false" ht="15.75" hidden="false" customHeight="false" outlineLevel="0" collapsed="false">
      <c r="A10" s="5" t="s">
        <v>62</v>
      </c>
      <c r="B10" s="24" t="n">
        <f aca="false">B6*'Assumptions &amp; Inputs'!C11</f>
        <v>337500</v>
      </c>
      <c r="C10" s="24" t="n">
        <f aca="false">C6*'Assumptions &amp; Inputs'!D11</f>
        <v>348468.75</v>
      </c>
      <c r="D10" s="24" t="n">
        <f aca="false">D6*'Assumptions &amp; Inputs'!E11</f>
        <v>351514.8</v>
      </c>
      <c r="E10" s="24" t="n">
        <f aca="false">E6*'Assumptions &amp; Inputs'!F11</f>
        <v>357545.097</v>
      </c>
      <c r="F10" s="24" t="n">
        <f aca="false">F6*'Assumptions &amp; Inputs'!G11</f>
        <v>356921.21556</v>
      </c>
      <c r="G10" s="23"/>
    </row>
    <row r="11" customFormat="false" ht="15.75" hidden="false" customHeight="false" outlineLevel="0" collapsed="false">
      <c r="A11" s="5" t="s">
        <v>63</v>
      </c>
      <c r="B11" s="24" t="n">
        <f aca="false">B7*'Assumptions &amp; Inputs'!C12</f>
        <v>82500</v>
      </c>
      <c r="C11" s="24" t="n">
        <f aca="false">C7*'Assumptions &amp; Inputs'!D12</f>
        <v>84656.25</v>
      </c>
      <c r="D11" s="24" t="n">
        <f aca="false">D7*'Assumptions &amp; Inputs'!E12</f>
        <v>89434.8</v>
      </c>
      <c r="E11" s="24" t="n">
        <f aca="false">E7*'Assumptions &amp; Inputs'!F12</f>
        <v>92565.018</v>
      </c>
      <c r="F11" s="24" t="n">
        <f aca="false">F7*'Assumptions &amp; Inputs'!G12</f>
        <v>94294.2546</v>
      </c>
      <c r="G11" s="23"/>
    </row>
    <row r="12" customFormat="false" ht="16.5" hidden="false" customHeight="true" outlineLevel="0" collapsed="false">
      <c r="A12" s="28" t="s">
        <v>64</v>
      </c>
      <c r="B12" s="29" t="n">
        <f aca="false">B10+B11</f>
        <v>420000</v>
      </c>
      <c r="C12" s="29" t="n">
        <f aca="false">C10+C11</f>
        <v>433125</v>
      </c>
      <c r="D12" s="29" t="n">
        <f aca="false">D10+D11</f>
        <v>440949.6</v>
      </c>
      <c r="E12" s="29" t="n">
        <f aca="false">E10+E11</f>
        <v>450110.115</v>
      </c>
      <c r="F12" s="29" t="n">
        <f aca="false">F10+F11</f>
        <v>451215.47016</v>
      </c>
      <c r="G12" s="23"/>
    </row>
    <row r="13" customFormat="false" ht="16.5" hidden="false" customHeight="true" outlineLevel="0" collapsed="false">
      <c r="A13" s="6" t="s">
        <v>65</v>
      </c>
      <c r="B13" s="30" t="n">
        <f aca="false">IF(B4=0,0,B12/B4)</f>
        <v>0.28</v>
      </c>
      <c r="C13" s="30" t="n">
        <f aca="false">IF(C4=0,0,C12/C4)</f>
        <v>0.275</v>
      </c>
      <c r="D13" s="30" t="n">
        <f aca="false">IF(D4=0,0,D12/D4)</f>
        <v>0.2692</v>
      </c>
      <c r="E13" s="30" t="n">
        <f aca="false">IF(E4=0,0,E12/E4)</f>
        <v>0.2655</v>
      </c>
      <c r="F13" s="30" t="n">
        <f aca="false">IF(F4=0,0,F12/F4)</f>
        <v>0.2584</v>
      </c>
      <c r="G13" s="23"/>
    </row>
    <row r="14" customFormat="false" ht="15.75" hidden="false" customHeight="false" outlineLevel="0" collapsed="false">
      <c r="A14" s="23"/>
      <c r="B14" s="23"/>
      <c r="C14" s="23"/>
      <c r="D14" s="23"/>
      <c r="E14" s="23"/>
      <c r="F14" s="23"/>
      <c r="G14" s="23"/>
    </row>
    <row r="15" customFormat="false" ht="16.5" hidden="false" customHeight="true" outlineLevel="0" collapsed="false">
      <c r="A15" s="28" t="s">
        <v>66</v>
      </c>
      <c r="B15" s="29" t="n">
        <f aca="false">B4-B12</f>
        <v>1080000</v>
      </c>
      <c r="C15" s="29" t="n">
        <f aca="false">C4-C12</f>
        <v>1141875</v>
      </c>
      <c r="D15" s="29" t="n">
        <f aca="false">D4-D12</f>
        <v>1197050.4</v>
      </c>
      <c r="E15" s="29" t="n">
        <f aca="false">E4-E12</f>
        <v>1245219.885</v>
      </c>
      <c r="F15" s="29" t="n">
        <f aca="false">F4-F12</f>
        <v>1294974.42984</v>
      </c>
      <c r="G15" s="23"/>
    </row>
    <row r="16" customFormat="false" ht="16.5" hidden="false" customHeight="true" outlineLevel="0" collapsed="false">
      <c r="A16" s="6" t="s">
        <v>67</v>
      </c>
      <c r="B16" s="30" t="n">
        <f aca="false">IF(B4=0,0,B15/B4)</f>
        <v>0.72</v>
      </c>
      <c r="C16" s="30" t="n">
        <f aca="false">IF(C4=0,0,C15/C4)</f>
        <v>0.725</v>
      </c>
      <c r="D16" s="30" t="n">
        <f aca="false">IF(D4=0,0,D15/D4)</f>
        <v>0.7308</v>
      </c>
      <c r="E16" s="30" t="n">
        <f aca="false">IF(E4=0,0,E15/E4)</f>
        <v>0.7345</v>
      </c>
      <c r="F16" s="30" t="n">
        <f aca="false">IF(F4=0,0,F15/F4)</f>
        <v>0.7416</v>
      </c>
      <c r="G16" s="23"/>
    </row>
    <row r="17" customFormat="false" ht="15.75" hidden="false" customHeight="false" outlineLevel="0" collapsed="false">
      <c r="A17" s="23"/>
      <c r="B17" s="23"/>
      <c r="C17" s="23"/>
      <c r="D17" s="23"/>
      <c r="E17" s="23"/>
      <c r="F17" s="23"/>
      <c r="G17" s="23"/>
    </row>
    <row r="18" customFormat="false" ht="15.75" hidden="false" customHeight="false" outlineLevel="0" collapsed="false">
      <c r="A18" s="4" t="s">
        <v>68</v>
      </c>
      <c r="B18" s="4"/>
      <c r="C18" s="4"/>
      <c r="D18" s="4"/>
      <c r="E18" s="4"/>
      <c r="F18" s="4"/>
      <c r="G18" s="4"/>
    </row>
    <row r="19" customFormat="false" ht="15.75" hidden="false" customHeight="false" outlineLevel="0" collapsed="false">
      <c r="A19" s="5" t="s">
        <v>69</v>
      </c>
      <c r="B19" s="24" t="n">
        <f aca="false">B4*'Assumptions &amp; Inputs'!C16</f>
        <v>450000</v>
      </c>
      <c r="C19" s="24" t="n">
        <f aca="false">C4*'Assumptions &amp; Inputs'!D16</f>
        <v>464625</v>
      </c>
      <c r="D19" s="24" t="n">
        <f aca="false">D4*'Assumptions &amp; Inputs'!E16</f>
        <v>475020</v>
      </c>
      <c r="E19" s="24" t="n">
        <f aca="false">E4*'Assumptions &amp; Inputs'!F16</f>
        <v>483169.05</v>
      </c>
      <c r="F19" s="24" t="n">
        <f aca="false">F4*'Assumptions &amp; Inputs'!G16</f>
        <v>488933.172</v>
      </c>
      <c r="G19" s="23"/>
    </row>
    <row r="20" customFormat="false" ht="15.75" hidden="false" customHeight="false" outlineLevel="0" collapsed="false">
      <c r="A20" s="5" t="s">
        <v>70</v>
      </c>
      <c r="B20" s="24" t="n">
        <f aca="false">'Assumptions &amp; Inputs'!C17</f>
        <v>180000</v>
      </c>
      <c r="C20" s="24" t="n">
        <f aca="false">'Assumptions &amp; Inputs'!D17</f>
        <v>185400</v>
      </c>
      <c r="D20" s="24" t="n">
        <f aca="false">'Assumptions &amp; Inputs'!E17</f>
        <v>190962</v>
      </c>
      <c r="E20" s="24" t="n">
        <f aca="false">'Assumptions &amp; Inputs'!F17</f>
        <v>196691</v>
      </c>
      <c r="F20" s="24" t="n">
        <f aca="false">'Assumptions &amp; Inputs'!G17</f>
        <v>202591</v>
      </c>
      <c r="G20" s="23"/>
    </row>
    <row r="21" customFormat="false" ht="15.75" hidden="false" customHeight="false" outlineLevel="0" collapsed="false">
      <c r="A21" s="5" t="s">
        <v>71</v>
      </c>
      <c r="B21" s="24" t="n">
        <f aca="false">'Assumptions &amp; Inputs'!C18</f>
        <v>120000</v>
      </c>
      <c r="C21" s="24" t="n">
        <f aca="false">'Assumptions &amp; Inputs'!D18</f>
        <v>123600</v>
      </c>
      <c r="D21" s="24" t="n">
        <f aca="false">'Assumptions &amp; Inputs'!E18</f>
        <v>127308</v>
      </c>
      <c r="E21" s="24" t="n">
        <f aca="false">'Assumptions &amp; Inputs'!F18</f>
        <v>131127</v>
      </c>
      <c r="F21" s="24" t="n">
        <f aca="false">'Assumptions &amp; Inputs'!G18</f>
        <v>135061</v>
      </c>
      <c r="G21" s="23"/>
    </row>
    <row r="22" customFormat="false" ht="15.75" hidden="false" customHeight="false" outlineLevel="0" collapsed="false">
      <c r="A22" s="5" t="s">
        <v>72</v>
      </c>
      <c r="B22" s="24" t="n">
        <f aca="false">B4*'Assumptions &amp; Inputs'!C19</f>
        <v>60000</v>
      </c>
      <c r="C22" s="24" t="n">
        <f aca="false">C4*'Assumptions &amp; Inputs'!D19</f>
        <v>63000</v>
      </c>
      <c r="D22" s="24" t="n">
        <f aca="false">D4*'Assumptions &amp; Inputs'!E19</f>
        <v>62244</v>
      </c>
      <c r="E22" s="24" t="n">
        <f aca="false">E4*'Assumptions &amp; Inputs'!F19</f>
        <v>64422.54</v>
      </c>
      <c r="F22" s="24" t="n">
        <f aca="false">F4*'Assumptions &amp; Inputs'!G19</f>
        <v>61116.6465</v>
      </c>
      <c r="G22" s="23"/>
    </row>
    <row r="23" customFormat="false" ht="15.75" hidden="false" customHeight="false" outlineLevel="0" collapsed="false">
      <c r="A23" s="5" t="s">
        <v>73</v>
      </c>
      <c r="B23" s="24" t="n">
        <f aca="false">B4*'Assumptions &amp; Inputs'!C20</f>
        <v>45000</v>
      </c>
      <c r="C23" s="24" t="n">
        <f aca="false">C4*'Assumptions &amp; Inputs'!D20</f>
        <v>47250</v>
      </c>
      <c r="D23" s="24" t="n">
        <f aca="false">D4*'Assumptions &amp; Inputs'!E20</f>
        <v>40950</v>
      </c>
      <c r="E23" s="24" t="n">
        <f aca="false">E4*'Assumptions &amp; Inputs'!F20</f>
        <v>42383.25</v>
      </c>
      <c r="F23" s="24" t="n">
        <f aca="false">F4*'Assumptions &amp; Inputs'!G20</f>
        <v>34923.798</v>
      </c>
      <c r="G23" s="23"/>
    </row>
    <row r="24" customFormat="false" ht="15.75" hidden="false" customHeight="false" outlineLevel="0" collapsed="false">
      <c r="A24" s="5" t="s">
        <v>74</v>
      </c>
      <c r="B24" s="24" t="n">
        <f aca="false">'Assumptions &amp; Inputs'!C21</f>
        <v>24000</v>
      </c>
      <c r="C24" s="24" t="n">
        <f aca="false">'Assumptions &amp; Inputs'!D21</f>
        <v>24720</v>
      </c>
      <c r="D24" s="24" t="n">
        <f aca="false">'Assumptions &amp; Inputs'!E21</f>
        <v>25462</v>
      </c>
      <c r="E24" s="24" t="n">
        <f aca="false">'Assumptions &amp; Inputs'!F21</f>
        <v>26225</v>
      </c>
      <c r="F24" s="24" t="n">
        <f aca="false">'Assumptions &amp; Inputs'!G21</f>
        <v>27012</v>
      </c>
      <c r="G24" s="23"/>
    </row>
    <row r="25" customFormat="false" ht="15.75" hidden="false" customHeight="false" outlineLevel="0" collapsed="false">
      <c r="A25" s="5" t="s">
        <v>75</v>
      </c>
      <c r="B25" s="24" t="n">
        <f aca="false">B4*'Assumptions &amp; Inputs'!C22</f>
        <v>30000</v>
      </c>
      <c r="C25" s="24" t="n">
        <f aca="false">C4*'Assumptions &amp; Inputs'!D22</f>
        <v>31500</v>
      </c>
      <c r="D25" s="24" t="n">
        <f aca="false">D4*'Assumptions &amp; Inputs'!E22</f>
        <v>32760</v>
      </c>
      <c r="E25" s="24" t="n">
        <f aca="false">E4*'Assumptions &amp; Inputs'!F22</f>
        <v>33906.6</v>
      </c>
      <c r="F25" s="24" t="n">
        <f aca="false">F4*'Assumptions &amp; Inputs'!G22</f>
        <v>34923.798</v>
      </c>
      <c r="G25" s="23"/>
    </row>
    <row r="26" customFormat="false" ht="15.75" hidden="false" customHeight="false" outlineLevel="0" collapsed="false">
      <c r="A26" s="5" t="s">
        <v>76</v>
      </c>
      <c r="B26" s="24" t="n">
        <f aca="false">B4*'Assumptions &amp; Inputs'!C23</f>
        <v>22500</v>
      </c>
      <c r="C26" s="24" t="n">
        <f aca="false">C4*'Assumptions &amp; Inputs'!D23</f>
        <v>23625</v>
      </c>
      <c r="D26" s="24" t="n">
        <f aca="false">D4*'Assumptions &amp; Inputs'!E23</f>
        <v>24570</v>
      </c>
      <c r="E26" s="24" t="n">
        <f aca="false">E4*'Assumptions &amp; Inputs'!F23</f>
        <v>25429.95</v>
      </c>
      <c r="F26" s="24" t="n">
        <f aca="false">F4*'Assumptions &amp; Inputs'!G23</f>
        <v>26192.8485</v>
      </c>
      <c r="G26" s="23"/>
    </row>
    <row r="27" customFormat="false" ht="15.75" hidden="false" customHeight="false" outlineLevel="0" collapsed="false">
      <c r="A27" s="5" t="s">
        <v>77</v>
      </c>
      <c r="B27" s="24" t="n">
        <f aca="false">B4*'Assumptions &amp; Inputs'!C24</f>
        <v>30000</v>
      </c>
      <c r="C27" s="24" t="n">
        <f aca="false">C4*'Assumptions &amp; Inputs'!D24</f>
        <v>31500</v>
      </c>
      <c r="D27" s="24" t="n">
        <f aca="false">D4*'Assumptions &amp; Inputs'!E24</f>
        <v>32760</v>
      </c>
      <c r="E27" s="24" t="n">
        <f aca="false">E4*'Assumptions &amp; Inputs'!F24</f>
        <v>33906.6</v>
      </c>
      <c r="F27" s="24" t="n">
        <f aca="false">F4*'Assumptions &amp; Inputs'!G24</f>
        <v>34923.798</v>
      </c>
      <c r="G27" s="23"/>
    </row>
    <row r="28" customFormat="false" ht="15.75" hidden="false" customHeight="false" outlineLevel="0" collapsed="false">
      <c r="A28" s="5" t="s">
        <v>78</v>
      </c>
      <c r="B28" s="24" t="n">
        <f aca="false">('Assumptions &amp; Inputs'!C28+'Assumptions &amp; Inputs'!C29+'Assumptions &amp; Inputs'!C30)/'Assumptions &amp; Inputs'!C31</f>
        <v>52500</v>
      </c>
      <c r="C28" s="24" t="n">
        <f aca="false">(SUM('Assumptions &amp; Inputs'!C28:D28)+SUM('Assumptions &amp; Inputs'!C29:D29)+SUM('Assumptions &amp; Inputs'!C30:D30))/'Assumptions &amp; Inputs'!D31</f>
        <v>55500</v>
      </c>
      <c r="D28" s="24" t="n">
        <f aca="false">(SUM('Assumptions &amp; Inputs'!C28:E28)+SUM('Assumptions &amp; Inputs'!C29:E29)+SUM('Assumptions &amp; Inputs'!C30:E30))/'Assumptions &amp; Inputs'!E31</f>
        <v>66500</v>
      </c>
      <c r="E28" s="24" t="n">
        <f aca="false">(SUM('Assumptions &amp; Inputs'!C28:F28)+SUM('Assumptions &amp; Inputs'!C29:F29)+SUM('Assumptions &amp; Inputs'!C30:F30))/'Assumptions &amp; Inputs'!F31</f>
        <v>70000</v>
      </c>
      <c r="F28" s="24" t="n">
        <f aca="false">(SUM('Assumptions &amp; Inputs'!C28:G28)+SUM('Assumptions &amp; Inputs'!C29:G29)+SUM('Assumptions &amp; Inputs'!C30:G30))/'Assumptions &amp; Inputs'!G31</f>
        <v>74000</v>
      </c>
      <c r="G28" s="23"/>
    </row>
    <row r="29" customFormat="false" ht="16.5" hidden="false" customHeight="true" outlineLevel="0" collapsed="false">
      <c r="A29" s="28" t="s">
        <v>79</v>
      </c>
      <c r="B29" s="29" t="n">
        <f aca="false">SUM(B19:B28)</f>
        <v>1014000</v>
      </c>
      <c r="C29" s="29" t="n">
        <f aca="false">SUM(C19:C28)</f>
        <v>1050720</v>
      </c>
      <c r="D29" s="29" t="n">
        <f aca="false">SUM(D19:D28)</f>
        <v>1078536</v>
      </c>
      <c r="E29" s="29" t="n">
        <f aca="false">SUM(E19:E28)</f>
        <v>1107260.99</v>
      </c>
      <c r="F29" s="29" t="n">
        <f aca="false">SUM(F19:F28)</f>
        <v>1119678.061</v>
      </c>
      <c r="G29" s="23"/>
    </row>
    <row r="30" customFormat="false" ht="16.5" hidden="false" customHeight="true" outlineLevel="0" collapsed="false">
      <c r="A30" s="6" t="s">
        <v>80</v>
      </c>
      <c r="B30" s="30" t="n">
        <f aca="false">IF(B4=0,0,B29/B4)</f>
        <v>0.676</v>
      </c>
      <c r="C30" s="30" t="n">
        <f aca="false">IF(C4=0,0,C29/C4)</f>
        <v>0.66712380952381</v>
      </c>
      <c r="D30" s="30" t="n">
        <f aca="false">IF(D4=0,0,D29/D4)</f>
        <v>0.658446886446886</v>
      </c>
      <c r="E30" s="30" t="n">
        <f aca="false">IF(E4=0,0,E29/E4)</f>
        <v>0.653124164616918</v>
      </c>
      <c r="F30" s="30" t="n">
        <f aca="false">IF(F4=0,0,F29/F4)</f>
        <v>0.641212081801642</v>
      </c>
      <c r="G30" s="23"/>
    </row>
    <row r="31" customFormat="false" ht="15.75" hidden="false" customHeight="false" outlineLevel="0" collapsed="false">
      <c r="A31" s="23"/>
      <c r="B31" s="23"/>
      <c r="C31" s="23"/>
      <c r="D31" s="23"/>
      <c r="E31" s="23"/>
      <c r="F31" s="23"/>
      <c r="G31" s="23"/>
    </row>
    <row r="32" customFormat="false" ht="15.75" hidden="false" customHeight="false" outlineLevel="0" collapsed="false">
      <c r="A32" s="4" t="s">
        <v>81</v>
      </c>
      <c r="B32" s="4"/>
      <c r="C32" s="4"/>
      <c r="D32" s="4"/>
      <c r="E32" s="4"/>
      <c r="F32" s="4"/>
      <c r="G32" s="4"/>
    </row>
    <row r="33" customFormat="false" ht="16.5" hidden="false" customHeight="true" outlineLevel="0" collapsed="false">
      <c r="A33" s="28" t="s">
        <v>82</v>
      </c>
      <c r="B33" s="29" t="n">
        <f aca="false">B15-B29+B28</f>
        <v>118500</v>
      </c>
      <c r="C33" s="29" t="n">
        <f aca="false">C15-C29+C28</f>
        <v>146655</v>
      </c>
      <c r="D33" s="29" t="n">
        <f aca="false">D15-D29+D28</f>
        <v>185014.4</v>
      </c>
      <c r="E33" s="29" t="n">
        <f aca="false">E15-E29+E28</f>
        <v>207958.895</v>
      </c>
      <c r="F33" s="29" t="n">
        <f aca="false">F15-F29+F28</f>
        <v>249296.36884</v>
      </c>
      <c r="G33" s="23"/>
    </row>
    <row r="34" customFormat="false" ht="16.5" hidden="false" customHeight="true" outlineLevel="0" collapsed="false">
      <c r="A34" s="6" t="s">
        <v>83</v>
      </c>
      <c r="B34" s="30" t="n">
        <f aca="false">IF(B4=0,0,B33/B4)</f>
        <v>0.079</v>
      </c>
      <c r="C34" s="30" t="n">
        <f aca="false">IF(C4=0,0,C33/C4)</f>
        <v>0.0931142857142857</v>
      </c>
      <c r="D34" s="30" t="n">
        <f aca="false">IF(D4=0,0,D33/D4)</f>
        <v>0.112951404151404</v>
      </c>
      <c r="E34" s="30" t="n">
        <f aca="false">IF(E4=0,0,E33/E4)</f>
        <v>0.122665731745442</v>
      </c>
      <c r="F34" s="30" t="n">
        <f aca="false">IF(F4=0,0,F33/F4)</f>
        <v>0.142765897821308</v>
      </c>
      <c r="G34" s="23"/>
    </row>
    <row r="35" customFormat="false" ht="15.75" hidden="false" customHeight="false" outlineLevel="0" collapsed="false">
      <c r="A35" s="23"/>
      <c r="B35" s="23"/>
      <c r="C35" s="23"/>
      <c r="D35" s="23"/>
      <c r="E35" s="23"/>
      <c r="F35" s="23"/>
      <c r="G35" s="23"/>
    </row>
    <row r="36" customFormat="false" ht="16.5" hidden="false" customHeight="true" outlineLevel="0" collapsed="false">
      <c r="A36" s="28" t="s">
        <v>84</v>
      </c>
      <c r="B36" s="29" t="n">
        <f aca="false">B15-B29</f>
        <v>66000</v>
      </c>
      <c r="C36" s="29" t="n">
        <f aca="false">C15-C29</f>
        <v>91155</v>
      </c>
      <c r="D36" s="29" t="n">
        <f aca="false">D15-D29</f>
        <v>118514.4</v>
      </c>
      <c r="E36" s="29" t="n">
        <f aca="false">E15-E29</f>
        <v>137958.895</v>
      </c>
      <c r="F36" s="29" t="n">
        <f aca="false">F15-F29</f>
        <v>175296.36884</v>
      </c>
      <c r="G36" s="23"/>
    </row>
    <row r="37" customFormat="false" ht="16.5" hidden="false" customHeight="true" outlineLevel="0" collapsed="false">
      <c r="A37" s="6" t="s">
        <v>85</v>
      </c>
      <c r="B37" s="30" t="n">
        <f aca="false">IF(B4=0,0,B36/B4)</f>
        <v>0.044</v>
      </c>
      <c r="C37" s="30" t="n">
        <f aca="false">IF(C4=0,0,C36/C4)</f>
        <v>0.0578761904761905</v>
      </c>
      <c r="D37" s="30" t="n">
        <f aca="false">IF(D4=0,0,D36/D4)</f>
        <v>0.0723531135531135</v>
      </c>
      <c r="E37" s="30" t="n">
        <f aca="false">IF(E4=0,0,E36/E4)</f>
        <v>0.0813758353830818</v>
      </c>
      <c r="F37" s="30" t="n">
        <f aca="false">IF(F4=0,0,F36/F4)</f>
        <v>0.100387918198359</v>
      </c>
      <c r="G37" s="23"/>
    </row>
    <row r="38" customFormat="false" ht="15.75" hidden="false" customHeight="false" outlineLevel="0" collapsed="false">
      <c r="A38" s="23"/>
      <c r="B38" s="23"/>
      <c r="C38" s="23"/>
      <c r="D38" s="23"/>
      <c r="E38" s="23"/>
      <c r="F38" s="23"/>
      <c r="G38" s="23"/>
    </row>
    <row r="39" customFormat="false" ht="15.75" hidden="false" customHeight="false" outlineLevel="0" collapsed="false">
      <c r="A39" s="4" t="s">
        <v>86</v>
      </c>
      <c r="B39" s="4"/>
      <c r="C39" s="4"/>
      <c r="D39" s="4"/>
      <c r="E39" s="4"/>
      <c r="F39" s="4"/>
      <c r="G39" s="4"/>
    </row>
    <row r="40" customFormat="false" ht="15.75" hidden="false" customHeight="false" outlineLevel="0" collapsed="false">
      <c r="A40" s="5" t="s">
        <v>87</v>
      </c>
      <c r="B40" s="24" t="n">
        <f aca="false">'Assumptions &amp; Inputs'!C35*'Assumptions &amp; Inputs'!C36</f>
        <v>26000</v>
      </c>
      <c r="C40" s="24" t="n">
        <f aca="false">('Assumptions &amp; Inputs'!C35-'Assumptions &amp; Inputs'!C38)*'Assumptions &amp; Inputs'!D36</f>
        <v>23400</v>
      </c>
      <c r="D40" s="24" t="n">
        <f aca="false">('Assumptions &amp; Inputs'!C35-'Assumptions &amp; Inputs'!C38-'Assumptions &amp; Inputs'!D38)*'Assumptions &amp; Inputs'!E36</f>
        <v>20800</v>
      </c>
      <c r="E40" s="24" t="n">
        <f aca="false">('Assumptions &amp; Inputs'!C35-'Assumptions &amp; Inputs'!C38-'Assumptions &amp; Inputs'!D38-'Assumptions &amp; Inputs'!E38)*'Assumptions &amp; Inputs'!F36</f>
        <v>18200</v>
      </c>
      <c r="F40" s="24" t="n">
        <f aca="false">('Assumptions &amp; Inputs'!C35-'Assumptions &amp; Inputs'!C38-'Assumptions &amp; Inputs'!D38-'Assumptions &amp; Inputs'!E38-'Assumptions &amp; Inputs'!F38)*'Assumptions &amp; Inputs'!G36</f>
        <v>15600</v>
      </c>
      <c r="G40" s="23"/>
    </row>
    <row r="41" customFormat="false" ht="16.5" hidden="false" customHeight="true" outlineLevel="0" collapsed="false">
      <c r="A41" s="28" t="s">
        <v>88</v>
      </c>
      <c r="B41" s="29" t="n">
        <f aca="false">B36-B40</f>
        <v>40000</v>
      </c>
      <c r="C41" s="29" t="n">
        <f aca="false">C36-C40</f>
        <v>67755</v>
      </c>
      <c r="D41" s="29" t="n">
        <f aca="false">D36-D40</f>
        <v>97714.3999999999</v>
      </c>
      <c r="E41" s="29" t="n">
        <f aca="false">E36-E40</f>
        <v>119758.895</v>
      </c>
      <c r="F41" s="29" t="n">
        <f aca="false">F36-F40</f>
        <v>159696.36884</v>
      </c>
      <c r="G41" s="23"/>
    </row>
    <row r="42" customFormat="false" ht="16.5" hidden="false" customHeight="true" outlineLevel="0" collapsed="false">
      <c r="A42" s="5" t="s">
        <v>89</v>
      </c>
      <c r="B42" s="24" t="n">
        <f aca="false">MAX(B41,0)*'Assumptions &amp; Inputs'!C46</f>
        <v>10000</v>
      </c>
      <c r="C42" s="24" t="n">
        <f aca="false">MAX(C41,0)*'Assumptions &amp; Inputs'!D46</f>
        <v>16938.75</v>
      </c>
      <c r="D42" s="24" t="n">
        <f aca="false">MAX(D41,0)*'Assumptions &amp; Inputs'!E46</f>
        <v>24428.6</v>
      </c>
      <c r="E42" s="24" t="n">
        <f aca="false">MAX(E41,0)*'Assumptions &amp; Inputs'!F46</f>
        <v>29939.72375</v>
      </c>
      <c r="F42" s="24" t="n">
        <f aca="false">MAX(F41,0)*'Assumptions &amp; Inputs'!G46</f>
        <v>39924.09221</v>
      </c>
      <c r="G42" s="23"/>
    </row>
    <row r="43" customFormat="false" ht="15.75" hidden="false" customHeight="false" outlineLevel="0" collapsed="false">
      <c r="A43" s="6" t="s">
        <v>90</v>
      </c>
      <c r="B43" s="30" t="n">
        <f aca="false">IF(B41=0,0,B42/B41)</f>
        <v>0.25</v>
      </c>
      <c r="C43" s="30" t="n">
        <f aca="false">IF(C41=0,0,C42/C41)</f>
        <v>0.25</v>
      </c>
      <c r="D43" s="30" t="n">
        <f aca="false">IF(D41=0,0,D42/D41)</f>
        <v>0.25</v>
      </c>
      <c r="E43" s="30" t="n">
        <f aca="false">IF(E41=0,0,E42/E41)</f>
        <v>0.25</v>
      </c>
      <c r="F43" s="30" t="n">
        <f aca="false">IF(F41=0,0,F42/F41)</f>
        <v>0.25</v>
      </c>
      <c r="G43" s="23"/>
    </row>
    <row r="44" customFormat="false" ht="15.75" hidden="false" customHeight="false" outlineLevel="0" collapsed="false">
      <c r="A44" s="23"/>
      <c r="B44" s="23"/>
      <c r="C44" s="23"/>
      <c r="D44" s="23"/>
      <c r="E44" s="23"/>
      <c r="F44" s="23"/>
      <c r="G44" s="23"/>
    </row>
    <row r="45" customFormat="false" ht="16.5" hidden="false" customHeight="true" outlineLevel="0" collapsed="false">
      <c r="A45" s="31" t="s">
        <v>91</v>
      </c>
      <c r="B45" s="32" t="n">
        <f aca="false">B41-B42</f>
        <v>30000</v>
      </c>
      <c r="C45" s="32" t="n">
        <f aca="false">C41-C42</f>
        <v>50816.25</v>
      </c>
      <c r="D45" s="32" t="n">
        <f aca="false">D41-D42</f>
        <v>73285.7999999999</v>
      </c>
      <c r="E45" s="32" t="n">
        <f aca="false">E41-E42</f>
        <v>89819.17125</v>
      </c>
      <c r="F45" s="32" t="n">
        <f aca="false">F41-F42</f>
        <v>119772.27663</v>
      </c>
      <c r="G45" s="23"/>
    </row>
    <row r="46" customFormat="false" ht="16.5" hidden="false" customHeight="true" outlineLevel="0" collapsed="false">
      <c r="A46" s="6" t="s">
        <v>92</v>
      </c>
      <c r="B46" s="30" t="n">
        <f aca="false">IF(B4=0,0,B45/B4)</f>
        <v>0.02</v>
      </c>
      <c r="C46" s="30" t="n">
        <f aca="false">IF(C4=0,0,C45/C4)</f>
        <v>0.0322642857142857</v>
      </c>
      <c r="D46" s="30" t="n">
        <f aca="false">IF(D4=0,0,D45/D4)</f>
        <v>0.0447410256410256</v>
      </c>
      <c r="E46" s="30" t="n">
        <f aca="false">IF(E4=0,0,E45/E4)</f>
        <v>0.0529803467466511</v>
      </c>
      <c r="F46" s="30" t="n">
        <f aca="false">IF(F4=0,0,F45/F4)</f>
        <v>0.0685906364651404</v>
      </c>
      <c r="G46" s="23"/>
    </row>
    <row r="47" customFormat="false" ht="15.75" hidden="false" customHeight="false" outlineLevel="0" collapsed="false">
      <c r="A47" s="25" t="s">
        <v>93</v>
      </c>
      <c r="B47" s="26" t="s">
        <v>12</v>
      </c>
      <c r="C47" s="27" t="n">
        <f aca="false">IF(B45=0,0,C45/B45-1)</f>
        <v>0.693875</v>
      </c>
      <c r="D47" s="27" t="n">
        <f aca="false">IF(C45=0,0,D45/C45-1)</f>
        <v>0.442172533392368</v>
      </c>
      <c r="E47" s="27" t="n">
        <f aca="false">IF(D45=0,0,E45/D45-1)</f>
        <v>0.225601293156384</v>
      </c>
      <c r="F47" s="27" t="n">
        <f aca="false">IF(E45=0,0,F45/E45-1)</f>
        <v>0.333482317451241</v>
      </c>
      <c r="G47" s="23"/>
    </row>
    <row r="48" customFormat="false" ht="15.75" hidden="false" customHeight="false" outlineLevel="0" collapsed="false">
      <c r="A48" s="23"/>
      <c r="B48" s="23"/>
      <c r="C48" s="23"/>
      <c r="D48" s="23"/>
      <c r="E48" s="23"/>
      <c r="F48" s="23"/>
      <c r="G48" s="23"/>
    </row>
    <row r="49" customFormat="false" ht="15.75" hidden="false" customHeight="false" outlineLevel="0" collapsed="false">
      <c r="A49" s="23"/>
      <c r="B49" s="23"/>
      <c r="C49" s="23"/>
      <c r="D49" s="23"/>
      <c r="E49" s="23"/>
      <c r="F49" s="23"/>
      <c r="G49" s="23"/>
    </row>
  </sheetData>
  <conditionalFormatting sqref="B4:F45">
    <cfRule type="cellIs" priority="2" operator="lessThan" aboveAverage="0" equalAverage="0" bottom="0" percent="0" rank="0" text="" dxfId="0">
      <formula>0</formula>
    </cfRule>
  </conditionalFormatting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1A3A2A"/>
    <pageSetUpPr fitToPage="false"/>
  </sheetPr>
  <dimension ref="A1:F5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1" topLeftCell="A2" activePane="bottomLeft" state="frozen"/>
      <selection pane="topLeft" activeCell="A1" activeCellId="0" sqref="A1"/>
      <selection pane="bottomLeft" activeCell="A1" activeCellId="0" sqref="A1"/>
    </sheetView>
  </sheetViews>
  <sheetFormatPr defaultColWidth="10.69140625" defaultRowHeight="15.75" customHeight="false" zeroHeight="false" outlineLevelRow="0" outlineLevelCol="0"/>
  <cols>
    <col collapsed="false" customWidth="true" hidden="false" outlineLevel="0" max="1" min="1" style="0" width="43.33"/>
    <col collapsed="false" customWidth="true" hidden="false" outlineLevel="0" max="6" min="2" style="0" width="18.33"/>
  </cols>
  <sheetData>
    <row r="1" customFormat="false" ht="30" hidden="false" customHeight="true" outlineLevel="0" collapsed="false">
      <c r="A1" s="2" t="s">
        <v>94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</row>
    <row r="2" customFormat="false" ht="15.75" hidden="false" customHeight="false" outlineLevel="0" collapsed="false">
      <c r="A2" s="3"/>
      <c r="B2" s="3" t="s">
        <v>6</v>
      </c>
      <c r="C2" s="3" t="s">
        <v>2</v>
      </c>
      <c r="D2" s="3" t="s">
        <v>3</v>
      </c>
      <c r="E2" s="3" t="s">
        <v>4</v>
      </c>
      <c r="F2" s="3" t="s">
        <v>5</v>
      </c>
    </row>
    <row r="3" customFormat="false" ht="15.75" hidden="false" customHeight="false" outlineLevel="0" collapsed="false">
      <c r="A3" s="4" t="s">
        <v>95</v>
      </c>
      <c r="B3" s="4"/>
      <c r="C3" s="4"/>
      <c r="D3" s="4"/>
      <c r="E3" s="4"/>
      <c r="F3" s="4"/>
    </row>
    <row r="4" customFormat="false" ht="15.75" hidden="false" customHeight="false" outlineLevel="0" collapsed="false">
      <c r="A4" s="5" t="s">
        <v>96</v>
      </c>
      <c r="B4" s="24" t="n">
        <f aca="false">'Pro Forma Cash Flow'!B37</f>
        <v>244130.95890411</v>
      </c>
      <c r="C4" s="24" t="n">
        <f aca="false">'Pro Forma Cash Flow'!C37</f>
        <v>275740.00239726</v>
      </c>
      <c r="D4" s="24" t="n">
        <f aca="false">'Pro Forma Cash Flow'!D37</f>
        <v>254722.033082192</v>
      </c>
      <c r="E4" s="24" t="n">
        <f aca="false">'Pro Forma Cash Flow'!E37</f>
        <v>321700.296900913</v>
      </c>
      <c r="F4" s="24" t="n">
        <f aca="false">'Pro Forma Cash Flow'!F37</f>
        <v>405595.830975094</v>
      </c>
    </row>
    <row r="5" customFormat="false" ht="15.75" hidden="false" customHeight="false" outlineLevel="0" collapsed="false">
      <c r="A5" s="5" t="s">
        <v>97</v>
      </c>
      <c r="B5" s="24" t="n">
        <f aca="false">'Pro Forma Income Statement'!B4*'Assumptions &amp; Inputs'!C41/365</f>
        <v>20547.9452054795</v>
      </c>
      <c r="C5" s="24" t="n">
        <f aca="false">'Pro Forma Income Statement'!C4*'Assumptions &amp; Inputs'!D41/365</f>
        <v>21575.3424657534</v>
      </c>
      <c r="D5" s="24" t="n">
        <f aca="false">'Pro Forma Income Statement'!D4*'Assumptions &amp; Inputs'!E41/365</f>
        <v>22438.3561643836</v>
      </c>
      <c r="E5" s="24" t="n">
        <f aca="false">'Pro Forma Income Statement'!E4*'Assumptions &amp; Inputs'!F41/365</f>
        <v>23223.698630137</v>
      </c>
      <c r="F5" s="24" t="n">
        <f aca="false">'Pro Forma Income Statement'!F4*'Assumptions &amp; Inputs'!G41/365</f>
        <v>23920.4095890411</v>
      </c>
    </row>
    <row r="6" customFormat="false" ht="15.75" hidden="false" customHeight="false" outlineLevel="0" collapsed="false">
      <c r="A6" s="5" t="s">
        <v>98</v>
      </c>
      <c r="B6" s="24" t="n">
        <f aca="false">'Pro Forma Income Statement'!B12*'Assumptions &amp; Inputs'!C42/365</f>
        <v>8054.79452054795</v>
      </c>
      <c r="C6" s="24" t="n">
        <f aca="false">'Pro Forma Income Statement'!C12*'Assumptions &amp; Inputs'!D42/365</f>
        <v>8306.50684931507</v>
      </c>
      <c r="D6" s="24" t="n">
        <f aca="false">'Pro Forma Income Statement'!D12*'Assumptions &amp; Inputs'!E42/365</f>
        <v>8456.56767123288</v>
      </c>
      <c r="E6" s="24" t="n">
        <f aca="false">'Pro Forma Income Statement'!E12*'Assumptions &amp; Inputs'!F42/365</f>
        <v>8632.24878082192</v>
      </c>
      <c r="F6" s="24" t="n">
        <f aca="false">'Pro Forma Income Statement'!F12*'Assumptions &amp; Inputs'!G42/365</f>
        <v>8653.44737293151</v>
      </c>
    </row>
    <row r="7" customFormat="false" ht="15.75" hidden="false" customHeight="false" outlineLevel="0" collapsed="false">
      <c r="A7" s="5" t="s">
        <v>99</v>
      </c>
      <c r="B7" s="24" t="n">
        <f aca="false">'Pro Forma Income Statement'!B29*0.02</f>
        <v>20280</v>
      </c>
      <c r="C7" s="24" t="n">
        <f aca="false">'Pro Forma Income Statement'!C29*0.02</f>
        <v>21014.4</v>
      </c>
      <c r="D7" s="24" t="n">
        <f aca="false">'Pro Forma Income Statement'!D29*0.02</f>
        <v>21570.72</v>
      </c>
      <c r="E7" s="24" t="n">
        <f aca="false">'Pro Forma Income Statement'!E29*0.02</f>
        <v>22145.2198</v>
      </c>
      <c r="F7" s="24" t="n">
        <f aca="false">'Pro Forma Income Statement'!F29*0.02</f>
        <v>22393.56122</v>
      </c>
    </row>
    <row r="8" customFormat="false" ht="16.5" hidden="false" customHeight="true" outlineLevel="0" collapsed="false">
      <c r="A8" s="33" t="s">
        <v>100</v>
      </c>
      <c r="B8" s="29" t="n">
        <f aca="false">SUM(B4:B7)</f>
        <v>293013.698630137</v>
      </c>
      <c r="C8" s="29" t="n">
        <f aca="false">SUM(C4:C7)</f>
        <v>326636.251712329</v>
      </c>
      <c r="D8" s="29" t="n">
        <f aca="false">SUM(D4:D7)</f>
        <v>307187.676917808</v>
      </c>
      <c r="E8" s="29" t="n">
        <f aca="false">SUM(E4:E7)</f>
        <v>375701.464111872</v>
      </c>
      <c r="F8" s="29" t="n">
        <f aca="false">SUM(F4:F7)</f>
        <v>460563.249157066</v>
      </c>
    </row>
    <row r="9" customFormat="false" ht="16.5" hidden="false" customHeight="true" outlineLevel="0" collapsed="false">
      <c r="A9" s="23"/>
      <c r="B9" s="23"/>
      <c r="C9" s="23"/>
      <c r="D9" s="23"/>
      <c r="E9" s="23"/>
      <c r="F9" s="23"/>
    </row>
    <row r="10" customFormat="false" ht="15.75" hidden="false" customHeight="false" outlineLevel="0" collapsed="false">
      <c r="A10" s="4" t="s">
        <v>101</v>
      </c>
      <c r="B10" s="4"/>
      <c r="C10" s="4"/>
      <c r="D10" s="4"/>
      <c r="E10" s="4"/>
      <c r="F10" s="4"/>
    </row>
    <row r="11" customFormat="false" ht="15.75" hidden="false" customHeight="false" outlineLevel="0" collapsed="false">
      <c r="A11" s="5" t="s">
        <v>102</v>
      </c>
      <c r="B11" s="24" t="n">
        <f aca="false">'Assumptions &amp; Inputs'!C28+'Assumptions &amp; Inputs'!C29+'Assumptions &amp; Inputs'!C30</f>
        <v>525000</v>
      </c>
      <c r="C11" s="24" t="n">
        <f aca="false">B11+'Assumptions &amp; Inputs'!D28+'Assumptions &amp; Inputs'!D29+'Assumptions &amp; Inputs'!D30</f>
        <v>555000</v>
      </c>
      <c r="D11" s="24" t="n">
        <f aca="false">C11+'Assumptions &amp; Inputs'!E28+'Assumptions &amp; Inputs'!E29+'Assumptions &amp; Inputs'!E30</f>
        <v>665000</v>
      </c>
      <c r="E11" s="24" t="n">
        <f aca="false">D11+'Assumptions &amp; Inputs'!F28+'Assumptions &amp; Inputs'!F29+'Assumptions &amp; Inputs'!F30</f>
        <v>700000</v>
      </c>
      <c r="F11" s="24" t="n">
        <f aca="false">E11+'Assumptions &amp; Inputs'!G28+'Assumptions &amp; Inputs'!G29+'Assumptions &amp; Inputs'!G30</f>
        <v>740000</v>
      </c>
    </row>
    <row r="12" customFormat="false" ht="15.75" hidden="false" customHeight="false" outlineLevel="0" collapsed="false">
      <c r="A12" s="5" t="s">
        <v>103</v>
      </c>
      <c r="B12" s="24" t="n">
        <f aca="false">-'Pro Forma Income Statement'!B28</f>
        <v>-52500</v>
      </c>
      <c r="C12" s="24" t="n">
        <f aca="false">B12-'Pro Forma Income Statement'!C28</f>
        <v>-108000</v>
      </c>
      <c r="D12" s="24" t="n">
        <f aca="false">C12-'Pro Forma Income Statement'!D28</f>
        <v>-174500</v>
      </c>
      <c r="E12" s="24" t="n">
        <f aca="false">D12-'Pro Forma Income Statement'!E28</f>
        <v>-244500</v>
      </c>
      <c r="F12" s="24" t="n">
        <f aca="false">E12-'Pro Forma Income Statement'!F28</f>
        <v>-318500</v>
      </c>
    </row>
    <row r="13" customFormat="false" ht="16.5" hidden="false" customHeight="true" outlineLevel="0" collapsed="false">
      <c r="A13" s="33" t="s">
        <v>104</v>
      </c>
      <c r="B13" s="29" t="n">
        <f aca="false">B11+B12</f>
        <v>472500</v>
      </c>
      <c r="C13" s="29" t="n">
        <f aca="false">C11+C12</f>
        <v>447000</v>
      </c>
      <c r="D13" s="29" t="n">
        <f aca="false">D11+D12</f>
        <v>490500</v>
      </c>
      <c r="E13" s="29" t="n">
        <f aca="false">E11+E12</f>
        <v>455500</v>
      </c>
      <c r="F13" s="29" t="n">
        <f aca="false">F11+F12</f>
        <v>421500</v>
      </c>
    </row>
    <row r="14" customFormat="false" ht="16.5" hidden="false" customHeight="true" outlineLevel="0" collapsed="false">
      <c r="A14" s="23"/>
      <c r="B14" s="23"/>
      <c r="C14" s="23"/>
      <c r="D14" s="23"/>
      <c r="E14" s="23"/>
      <c r="F14" s="23"/>
    </row>
    <row r="15" customFormat="false" ht="16.5" hidden="false" customHeight="true" outlineLevel="0" collapsed="false">
      <c r="A15" s="34" t="s">
        <v>105</v>
      </c>
      <c r="B15" s="32" t="n">
        <f aca="false">B8+B13</f>
        <v>765513.698630137</v>
      </c>
      <c r="C15" s="32" t="n">
        <f aca="false">C8+C13</f>
        <v>773636.251712329</v>
      </c>
      <c r="D15" s="32" t="n">
        <f aca="false">D8+D13</f>
        <v>797687.676917808</v>
      </c>
      <c r="E15" s="32" t="n">
        <f aca="false">E8+E13</f>
        <v>831201.464111872</v>
      </c>
      <c r="F15" s="32" t="n">
        <f aca="false">F8+F13</f>
        <v>882063.249157066</v>
      </c>
    </row>
    <row r="16" customFormat="false" ht="16.5" hidden="false" customHeight="true" outlineLevel="0" collapsed="false">
      <c r="A16" s="23"/>
      <c r="B16" s="23"/>
      <c r="C16" s="23"/>
      <c r="D16" s="23"/>
      <c r="E16" s="23"/>
      <c r="F16" s="23"/>
    </row>
    <row r="17" customFormat="false" ht="15.75" hidden="false" customHeight="false" outlineLevel="0" collapsed="false">
      <c r="A17" s="4" t="s">
        <v>106</v>
      </c>
      <c r="B17" s="4"/>
      <c r="C17" s="4"/>
      <c r="D17" s="4"/>
      <c r="E17" s="4"/>
      <c r="F17" s="4"/>
    </row>
    <row r="18" customFormat="false" ht="15.75" hidden="false" customHeight="false" outlineLevel="0" collapsed="false">
      <c r="A18" s="5" t="s">
        <v>107</v>
      </c>
      <c r="B18" s="24" t="n">
        <f aca="false">'Pro Forma Income Statement'!B12*'Assumptions &amp; Inputs'!C43/365</f>
        <v>23013.698630137</v>
      </c>
      <c r="C18" s="24" t="n">
        <f aca="false">'Pro Forma Income Statement'!C12*'Assumptions &amp; Inputs'!D43/365</f>
        <v>23732.8767123288</v>
      </c>
      <c r="D18" s="24" t="n">
        <f aca="false">'Pro Forma Income Statement'!D12*'Assumptions &amp; Inputs'!E43/365</f>
        <v>24161.6219178082</v>
      </c>
      <c r="E18" s="24" t="n">
        <f aca="false">'Pro Forma Income Statement'!E12*'Assumptions &amp; Inputs'!F43/365</f>
        <v>24663.5679452055</v>
      </c>
      <c r="F18" s="24" t="n">
        <f aca="false">'Pro Forma Income Statement'!F12*'Assumptions &amp; Inputs'!G43/365</f>
        <v>24724.1353512329</v>
      </c>
    </row>
    <row r="19" customFormat="false" ht="15.75" hidden="false" customHeight="false" outlineLevel="0" collapsed="false">
      <c r="A19" s="5" t="s">
        <v>108</v>
      </c>
      <c r="B19" s="24" t="n">
        <f aca="false">('Pro Forma Income Statement'!B19+'Pro Forma Income Statement'!B20)/12</f>
        <v>52500</v>
      </c>
      <c r="C19" s="24" t="n">
        <f aca="false">('Pro Forma Income Statement'!C19+'Pro Forma Income Statement'!C20)/12</f>
        <v>54168.75</v>
      </c>
      <c r="D19" s="24" t="n">
        <f aca="false">('Pro Forma Income Statement'!D19+'Pro Forma Income Statement'!D20)/12</f>
        <v>55498.5</v>
      </c>
      <c r="E19" s="24" t="n">
        <f aca="false">('Pro Forma Income Statement'!E19+'Pro Forma Income Statement'!E20)/12</f>
        <v>56655.0041666667</v>
      </c>
      <c r="F19" s="24" t="n">
        <f aca="false">('Pro Forma Income Statement'!F19+'Pro Forma Income Statement'!F20)/12</f>
        <v>57627.0143333333</v>
      </c>
    </row>
    <row r="20" customFormat="false" ht="15.75" hidden="false" customHeight="false" outlineLevel="0" collapsed="false">
      <c r="A20" s="5" t="s">
        <v>109</v>
      </c>
      <c r="B20" s="24" t="n">
        <f aca="false">'Assumptions &amp; Inputs'!C38</f>
        <v>40000</v>
      </c>
      <c r="C20" s="24" t="n">
        <f aca="false">'Assumptions &amp; Inputs'!D38</f>
        <v>40000</v>
      </c>
      <c r="D20" s="24" t="n">
        <f aca="false">'Assumptions &amp; Inputs'!E38</f>
        <v>40000</v>
      </c>
      <c r="E20" s="24" t="n">
        <f aca="false">'Assumptions &amp; Inputs'!F38</f>
        <v>40000</v>
      </c>
      <c r="F20" s="24" t="n">
        <f aca="false">'Assumptions &amp; Inputs'!G38</f>
        <v>40000</v>
      </c>
    </row>
    <row r="21" customFormat="false" ht="16.5" hidden="false" customHeight="true" outlineLevel="0" collapsed="false">
      <c r="A21" s="33" t="s">
        <v>110</v>
      </c>
      <c r="B21" s="29" t="n">
        <f aca="false">SUM(B18:B20)</f>
        <v>115513.698630137</v>
      </c>
      <c r="C21" s="29" t="n">
        <f aca="false">SUM(C18:C20)</f>
        <v>117901.626712329</v>
      </c>
      <c r="D21" s="29" t="n">
        <f aca="false">SUM(D18:D20)</f>
        <v>119660.121917808</v>
      </c>
      <c r="E21" s="29" t="n">
        <f aca="false">SUM(E18:E20)</f>
        <v>121318.572111872</v>
      </c>
      <c r="F21" s="29" t="n">
        <f aca="false">SUM(F18:F20)</f>
        <v>122351.149684566</v>
      </c>
    </row>
    <row r="22" customFormat="false" ht="16.5" hidden="false" customHeight="true" outlineLevel="0" collapsed="false">
      <c r="A22" s="23"/>
      <c r="B22" s="23"/>
      <c r="C22" s="23"/>
      <c r="D22" s="23"/>
      <c r="E22" s="23"/>
      <c r="F22" s="23"/>
    </row>
    <row r="23" customFormat="false" ht="15.75" hidden="false" customHeight="false" outlineLevel="0" collapsed="false">
      <c r="A23" s="4" t="s">
        <v>111</v>
      </c>
      <c r="B23" s="4"/>
      <c r="C23" s="4"/>
      <c r="D23" s="4"/>
      <c r="E23" s="4"/>
      <c r="F23" s="4"/>
    </row>
    <row r="24" customFormat="false" ht="15.75" hidden="false" customHeight="false" outlineLevel="0" collapsed="false">
      <c r="A24" s="5" t="s">
        <v>112</v>
      </c>
      <c r="B24" s="24" t="n">
        <f aca="false">MAX('Assumptions &amp; Inputs'!C35-B20-B20,0)</f>
        <v>320000</v>
      </c>
      <c r="C24" s="24" t="n">
        <f aca="false">MAX(B24+B20-C20-C20,0)</f>
        <v>280000</v>
      </c>
      <c r="D24" s="24" t="n">
        <f aca="false">MAX(C24+C20-D20-D20,0)</f>
        <v>240000</v>
      </c>
      <c r="E24" s="24" t="n">
        <f aca="false">MAX(D24+D20-E20-E20,0)</f>
        <v>200000</v>
      </c>
      <c r="F24" s="24" t="n">
        <f aca="false">MAX(E24+E20-F20-F20,0)</f>
        <v>160000</v>
      </c>
    </row>
    <row r="25" customFormat="false" ht="16.5" hidden="false" customHeight="true" outlineLevel="0" collapsed="false">
      <c r="A25" s="33" t="s">
        <v>113</v>
      </c>
      <c r="B25" s="29" t="n">
        <f aca="false">B24</f>
        <v>320000</v>
      </c>
      <c r="C25" s="29" t="n">
        <f aca="false">C24</f>
        <v>280000</v>
      </c>
      <c r="D25" s="29" t="n">
        <f aca="false">D24</f>
        <v>240000</v>
      </c>
      <c r="E25" s="29" t="n">
        <f aca="false">E24</f>
        <v>200000</v>
      </c>
      <c r="F25" s="29" t="n">
        <f aca="false">F24</f>
        <v>160000</v>
      </c>
    </row>
    <row r="26" customFormat="false" ht="16.5" hidden="false" customHeight="true" outlineLevel="0" collapsed="false">
      <c r="A26" s="23"/>
      <c r="B26" s="23"/>
      <c r="C26" s="23"/>
      <c r="D26" s="23"/>
      <c r="E26" s="23"/>
      <c r="F26" s="23"/>
    </row>
    <row r="27" customFormat="false" ht="16.5" hidden="false" customHeight="true" outlineLevel="0" collapsed="false">
      <c r="A27" s="33" t="s">
        <v>114</v>
      </c>
      <c r="B27" s="29" t="n">
        <f aca="false">B21+B25</f>
        <v>435513.698630137</v>
      </c>
      <c r="C27" s="29" t="n">
        <f aca="false">C21+C25</f>
        <v>397901.626712329</v>
      </c>
      <c r="D27" s="29" t="n">
        <f aca="false">D21+D25</f>
        <v>359660.121917808</v>
      </c>
      <c r="E27" s="29" t="n">
        <f aca="false">E21+E25</f>
        <v>321318.572111872</v>
      </c>
      <c r="F27" s="29" t="n">
        <f aca="false">F21+F25</f>
        <v>282351.149684566</v>
      </c>
    </row>
    <row r="28" customFormat="false" ht="16.5" hidden="false" customHeight="true" outlineLevel="0" collapsed="false">
      <c r="A28" s="23"/>
      <c r="B28" s="23"/>
      <c r="C28" s="23"/>
      <c r="D28" s="23"/>
      <c r="E28" s="23"/>
      <c r="F28" s="23"/>
    </row>
    <row r="29" customFormat="false" ht="15.75" hidden="false" customHeight="false" outlineLevel="0" collapsed="false">
      <c r="A29" s="4" t="s">
        <v>115</v>
      </c>
      <c r="B29" s="4"/>
      <c r="C29" s="4"/>
      <c r="D29" s="4"/>
      <c r="E29" s="4"/>
      <c r="F29" s="4"/>
    </row>
    <row r="30" customFormat="false" ht="15.75" hidden="false" customHeight="false" outlineLevel="0" collapsed="false">
      <c r="A30" s="5" t="s">
        <v>116</v>
      </c>
      <c r="B30" s="24" t="n">
        <f aca="false">'Assumptions &amp; Inputs'!C48+'Assumptions &amp; Inputs'!C47</f>
        <v>300000</v>
      </c>
      <c r="C30" s="24" t="n">
        <f aca="false">B30+'Assumptions &amp; Inputs'!D48</f>
        <v>300000</v>
      </c>
      <c r="D30" s="24" t="n">
        <f aca="false">C30+'Assumptions &amp; Inputs'!E48</f>
        <v>300000</v>
      </c>
      <c r="E30" s="24" t="n">
        <f aca="false">D30+'Assumptions &amp; Inputs'!F48</f>
        <v>300000</v>
      </c>
      <c r="F30" s="24" t="n">
        <f aca="false">E30+'Assumptions &amp; Inputs'!G48</f>
        <v>300000</v>
      </c>
    </row>
    <row r="31" customFormat="false" ht="15.75" hidden="false" customHeight="false" outlineLevel="0" collapsed="false">
      <c r="A31" s="5" t="s">
        <v>117</v>
      </c>
      <c r="B31" s="24" t="n">
        <f aca="false">'Pro Forma Income Statement'!B45*(1-'Assumptions &amp; Inputs'!C49)</f>
        <v>30000</v>
      </c>
      <c r="C31" s="24" t="n">
        <f aca="false">B31+'Pro Forma Income Statement'!C45*(1-'Assumptions &amp; Inputs'!D49)</f>
        <v>75734.625</v>
      </c>
      <c r="D31" s="24" t="n">
        <f aca="false">C31+'Pro Forma Income Statement'!D45*(1-'Assumptions &amp; Inputs'!E49)</f>
        <v>138027.555</v>
      </c>
      <c r="E31" s="24" t="n">
        <f aca="false">D31+'Pro Forma Income Statement'!E45*(1-'Assumptions &amp; Inputs'!F49)</f>
        <v>209882.892</v>
      </c>
      <c r="F31" s="24" t="n">
        <f aca="false">E31+'Pro Forma Income Statement'!F45*(1-'Assumptions &amp; Inputs'!G49)</f>
        <v>299712.0994725</v>
      </c>
    </row>
    <row r="32" customFormat="false" ht="16.5" hidden="false" customHeight="true" outlineLevel="0" collapsed="false">
      <c r="A32" s="33" t="s">
        <v>118</v>
      </c>
      <c r="B32" s="29" t="n">
        <f aca="false">B30+B31</f>
        <v>330000</v>
      </c>
      <c r="C32" s="29" t="n">
        <f aca="false">C30+C31</f>
        <v>375734.625</v>
      </c>
      <c r="D32" s="29" t="n">
        <f aca="false">D30+D31</f>
        <v>438027.555</v>
      </c>
      <c r="E32" s="29" t="n">
        <f aca="false">E30+E31</f>
        <v>509882.892</v>
      </c>
      <c r="F32" s="29" t="n">
        <f aca="false">F30+F31</f>
        <v>599712.0994725</v>
      </c>
    </row>
    <row r="33" customFormat="false" ht="16.5" hidden="false" customHeight="true" outlineLevel="0" collapsed="false">
      <c r="A33" s="23"/>
      <c r="B33" s="23"/>
      <c r="C33" s="23"/>
      <c r="D33" s="23"/>
      <c r="E33" s="23"/>
      <c r="F33" s="23"/>
    </row>
    <row r="34" customFormat="false" ht="16.5" hidden="false" customHeight="true" outlineLevel="0" collapsed="false">
      <c r="A34" s="34" t="s">
        <v>119</v>
      </c>
      <c r="B34" s="32" t="n">
        <f aca="false">B27+B32</f>
        <v>765513.698630137</v>
      </c>
      <c r="C34" s="32" t="n">
        <f aca="false">C27+C32</f>
        <v>773636.251712329</v>
      </c>
      <c r="D34" s="32" t="n">
        <f aca="false">D27+D32</f>
        <v>797687.676917808</v>
      </c>
      <c r="E34" s="32" t="n">
        <f aca="false">E27+E32</f>
        <v>831201.464111872</v>
      </c>
      <c r="F34" s="32" t="n">
        <f aca="false">F27+F32</f>
        <v>882063.249157066</v>
      </c>
    </row>
    <row r="35" customFormat="false" ht="16.5" hidden="false" customHeight="true" outlineLevel="0" collapsed="false">
      <c r="A35" s="23"/>
      <c r="B35" s="23"/>
      <c r="C35" s="23"/>
      <c r="D35" s="23"/>
      <c r="E35" s="23"/>
      <c r="F35" s="23"/>
    </row>
    <row r="36" customFormat="false" ht="15.75" hidden="false" customHeight="false" outlineLevel="0" collapsed="false">
      <c r="A36" s="6" t="s">
        <v>120</v>
      </c>
      <c r="B36" s="35" t="n">
        <f aca="false">B15-B34</f>
        <v>0</v>
      </c>
      <c r="C36" s="35" t="n">
        <f aca="false">C15-C34</f>
        <v>0</v>
      </c>
      <c r="D36" s="35" t="n">
        <f aca="false">D15-D34</f>
        <v>0</v>
      </c>
      <c r="E36" s="35" t="n">
        <f aca="false">E15-E34</f>
        <v>0</v>
      </c>
      <c r="F36" s="35" t="n">
        <f aca="false">F15-F34</f>
        <v>0</v>
      </c>
    </row>
    <row r="37" customFormat="false" ht="15.75" hidden="false" customHeight="false" outlineLevel="0" collapsed="false">
      <c r="A37" s="23"/>
      <c r="B37" s="23"/>
      <c r="C37" s="23"/>
      <c r="D37" s="23"/>
      <c r="E37" s="23"/>
      <c r="F37" s="23"/>
    </row>
    <row r="38" customFormat="false" ht="15.75" hidden="false" customHeight="false" outlineLevel="0" collapsed="false">
      <c r="A38" s="23"/>
      <c r="B38" s="23"/>
      <c r="C38" s="23"/>
      <c r="D38" s="23"/>
      <c r="E38" s="23"/>
      <c r="F38" s="23"/>
    </row>
    <row r="39" customFormat="false" ht="15.75" hidden="false" customHeight="false" outlineLevel="0" collapsed="false">
      <c r="A39" s="23"/>
      <c r="B39" s="23"/>
      <c r="C39" s="23"/>
      <c r="D39" s="23"/>
      <c r="E39" s="23"/>
      <c r="F39" s="23"/>
    </row>
    <row r="40" customFormat="false" ht="15.75" hidden="false" customHeight="false" outlineLevel="0" collapsed="false">
      <c r="A40" s="23"/>
      <c r="B40" s="23"/>
      <c r="C40" s="23"/>
      <c r="D40" s="23"/>
      <c r="E40" s="23"/>
      <c r="F40" s="23"/>
    </row>
    <row r="41" customFormat="false" ht="15.75" hidden="false" customHeight="false" outlineLevel="0" collapsed="false">
      <c r="A41" s="23"/>
      <c r="B41" s="23"/>
      <c r="C41" s="23"/>
      <c r="D41" s="23"/>
      <c r="E41" s="23"/>
      <c r="F41" s="23"/>
    </row>
    <row r="42" customFormat="false" ht="15.75" hidden="false" customHeight="false" outlineLevel="0" collapsed="false">
      <c r="A42" s="23"/>
      <c r="B42" s="23"/>
      <c r="C42" s="23"/>
      <c r="D42" s="23"/>
      <c r="E42" s="23"/>
      <c r="F42" s="23"/>
    </row>
    <row r="43" customFormat="false" ht="15.75" hidden="false" customHeight="false" outlineLevel="0" collapsed="false">
      <c r="A43" s="23"/>
      <c r="B43" s="23"/>
      <c r="C43" s="23"/>
      <c r="D43" s="23"/>
      <c r="E43" s="23"/>
      <c r="F43" s="23"/>
    </row>
    <row r="44" customFormat="false" ht="15.75" hidden="false" customHeight="false" outlineLevel="0" collapsed="false">
      <c r="A44" s="23"/>
      <c r="B44" s="23"/>
      <c r="C44" s="23"/>
      <c r="D44" s="23"/>
      <c r="E44" s="23"/>
      <c r="F44" s="23"/>
    </row>
    <row r="45" customFormat="false" ht="15.75" hidden="false" customHeight="false" outlineLevel="0" collapsed="false">
      <c r="A45" s="23"/>
      <c r="B45" s="23"/>
      <c r="C45" s="23"/>
      <c r="D45" s="23"/>
      <c r="E45" s="23"/>
      <c r="F45" s="23"/>
    </row>
    <row r="46" customFormat="false" ht="15.75" hidden="false" customHeight="false" outlineLevel="0" collapsed="false">
      <c r="A46" s="23"/>
      <c r="B46" s="23"/>
      <c r="C46" s="23"/>
      <c r="D46" s="23"/>
      <c r="E46" s="23"/>
      <c r="F46" s="23"/>
    </row>
    <row r="47" customFormat="false" ht="15.75" hidden="false" customHeight="false" outlineLevel="0" collapsed="false">
      <c r="A47" s="23"/>
      <c r="B47" s="23"/>
      <c r="C47" s="23"/>
      <c r="D47" s="23"/>
      <c r="E47" s="23"/>
      <c r="F47" s="23"/>
    </row>
    <row r="48" customFormat="false" ht="15.75" hidden="false" customHeight="false" outlineLevel="0" collapsed="false">
      <c r="A48" s="23"/>
      <c r="B48" s="23"/>
      <c r="C48" s="23"/>
      <c r="D48" s="23"/>
      <c r="E48" s="23"/>
      <c r="F48" s="23"/>
    </row>
    <row r="49" customFormat="false" ht="15.75" hidden="false" customHeight="false" outlineLevel="0" collapsed="false">
      <c r="A49" s="23"/>
      <c r="B49" s="23"/>
      <c r="C49" s="23"/>
      <c r="D49" s="23"/>
      <c r="E49" s="23"/>
      <c r="F49" s="23"/>
    </row>
    <row r="50" customFormat="false" ht="15.75" hidden="false" customHeight="false" outlineLevel="0" collapsed="false">
      <c r="A50" s="23"/>
      <c r="B50" s="23"/>
      <c r="C50" s="23"/>
      <c r="D50" s="23"/>
      <c r="E50" s="23"/>
      <c r="F50" s="23"/>
    </row>
    <row r="51" customFormat="false" ht="15.75" hidden="false" customHeight="false" outlineLevel="0" collapsed="false">
      <c r="A51" s="23"/>
      <c r="B51" s="23"/>
      <c r="C51" s="23"/>
      <c r="D51" s="23"/>
      <c r="E51" s="23"/>
      <c r="F51" s="23"/>
    </row>
    <row r="52" customFormat="false" ht="15.75" hidden="false" customHeight="false" outlineLevel="0" collapsed="false">
      <c r="A52" s="23"/>
      <c r="B52" s="23"/>
      <c r="C52" s="23"/>
      <c r="D52" s="23"/>
      <c r="E52" s="23"/>
      <c r="F52" s="23"/>
    </row>
    <row r="53" customFormat="false" ht="15.75" hidden="false" customHeight="false" outlineLevel="0" collapsed="false">
      <c r="A53" s="23"/>
      <c r="B53" s="23"/>
      <c r="C53" s="23"/>
      <c r="D53" s="23"/>
      <c r="E53" s="23"/>
      <c r="F53" s="23"/>
    </row>
    <row r="54" customFormat="false" ht="15.75" hidden="false" customHeight="false" outlineLevel="0" collapsed="false">
      <c r="A54" s="23"/>
      <c r="B54" s="23"/>
      <c r="C54" s="23"/>
      <c r="D54" s="23"/>
      <c r="E54" s="23"/>
      <c r="F54" s="23"/>
    </row>
  </sheetData>
  <conditionalFormatting sqref="B4:F34">
    <cfRule type="cellIs" priority="2" operator="lessThan" aboveAverage="0" equalAverage="0" bottom="0" percent="0" rank="0" text="" dxfId="0">
      <formula>0</formula>
    </cfRule>
  </conditionalFormatting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34D399"/>
    <pageSetUpPr fitToPage="false"/>
  </sheetPr>
  <dimension ref="A1:F4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1" topLeftCell="A2" activePane="bottomLeft" state="frozen"/>
      <selection pane="topLeft" activeCell="A1" activeCellId="0" sqref="A1"/>
      <selection pane="bottomLeft" activeCell="C25" activeCellId="0" sqref="C25"/>
    </sheetView>
  </sheetViews>
  <sheetFormatPr defaultColWidth="10.69140625" defaultRowHeight="15.75" customHeight="false" zeroHeight="false" outlineLevelRow="0" outlineLevelCol="0"/>
  <cols>
    <col collapsed="false" customWidth="true" hidden="false" outlineLevel="0" max="1" min="1" style="0" width="43.33"/>
    <col collapsed="false" customWidth="true" hidden="false" outlineLevel="0" max="6" min="2" style="0" width="18.33"/>
  </cols>
  <sheetData>
    <row r="1" customFormat="false" ht="30" hidden="false" customHeight="true" outlineLevel="0" collapsed="false">
      <c r="A1" s="2" t="s">
        <v>121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</row>
    <row r="2" customFormat="false" ht="15.75" hidden="false" customHeight="false" outlineLevel="0" collapsed="false">
      <c r="A2" s="3"/>
      <c r="B2" s="3" t="s">
        <v>6</v>
      </c>
      <c r="C2" s="3" t="s">
        <v>2</v>
      </c>
      <c r="D2" s="3" t="s">
        <v>3</v>
      </c>
      <c r="E2" s="3" t="s">
        <v>4</v>
      </c>
      <c r="F2" s="3" t="s">
        <v>5</v>
      </c>
    </row>
    <row r="3" customFormat="false" ht="15.75" hidden="false" customHeight="false" outlineLevel="0" collapsed="false">
      <c r="A3" s="4" t="s">
        <v>122</v>
      </c>
      <c r="B3" s="4"/>
      <c r="C3" s="4"/>
      <c r="D3" s="4"/>
      <c r="E3" s="4"/>
      <c r="F3" s="4"/>
    </row>
    <row r="4" customFormat="false" ht="15.75" hidden="false" customHeight="false" outlineLevel="0" collapsed="false">
      <c r="A4" s="5" t="s">
        <v>91</v>
      </c>
      <c r="B4" s="24" t="n">
        <f aca="false">'Pro Forma Income Statement'!B45</f>
        <v>30000</v>
      </c>
      <c r="C4" s="24" t="n">
        <f aca="false">'Pro Forma Income Statement'!C45</f>
        <v>50816.25</v>
      </c>
      <c r="D4" s="24" t="n">
        <f aca="false">'Pro Forma Income Statement'!D45</f>
        <v>73285.7999999999</v>
      </c>
      <c r="E4" s="24" t="n">
        <f aca="false">'Pro Forma Income Statement'!E45</f>
        <v>89819.17125</v>
      </c>
      <c r="F4" s="24" t="n">
        <f aca="false">'Pro Forma Income Statement'!F45</f>
        <v>119772.27663</v>
      </c>
    </row>
    <row r="5" customFormat="false" ht="15.75" hidden="false" customHeight="false" outlineLevel="0" collapsed="false">
      <c r="A5" s="5" t="s">
        <v>123</v>
      </c>
      <c r="B5" s="24" t="n">
        <f aca="false">'Pro Forma Income Statement'!B28</f>
        <v>52500</v>
      </c>
      <c r="C5" s="24" t="n">
        <f aca="false">'Pro Forma Income Statement'!C28</f>
        <v>55500</v>
      </c>
      <c r="D5" s="24" t="n">
        <f aca="false">'Pro Forma Income Statement'!D28</f>
        <v>66500</v>
      </c>
      <c r="E5" s="24" t="n">
        <f aca="false">'Pro Forma Income Statement'!E28</f>
        <v>70000</v>
      </c>
      <c r="F5" s="24" t="n">
        <f aca="false">'Pro Forma Income Statement'!F28</f>
        <v>74000</v>
      </c>
    </row>
    <row r="6" customFormat="false" ht="15.75" hidden="false" customHeight="false" outlineLevel="0" collapsed="false">
      <c r="A6" s="23"/>
      <c r="B6" s="23"/>
      <c r="C6" s="23"/>
      <c r="D6" s="23"/>
      <c r="E6" s="23"/>
      <c r="F6" s="23"/>
    </row>
    <row r="7" customFormat="false" ht="15.75" hidden="false" customHeight="false" outlineLevel="0" collapsed="false">
      <c r="A7" s="36" t="s">
        <v>124</v>
      </c>
      <c r="B7" s="23"/>
      <c r="C7" s="23"/>
      <c r="D7" s="23"/>
      <c r="E7" s="23"/>
      <c r="F7" s="23"/>
    </row>
    <row r="8" customFormat="false" ht="15.75" hidden="false" customHeight="false" outlineLevel="0" collapsed="false">
      <c r="A8" s="5" t="s">
        <v>125</v>
      </c>
      <c r="B8" s="24" t="n">
        <f aca="false">-'Pro Forma Balance Sheet'!B5</f>
        <v>-20547.9452054795</v>
      </c>
      <c r="C8" s="24" t="n">
        <f aca="false">-('Pro Forma Balance Sheet'!C5-'Pro Forma Balance Sheet'!B5)</f>
        <v>-1027.39726027397</v>
      </c>
      <c r="D8" s="24" t="n">
        <f aca="false">-('Pro Forma Balance Sheet'!D5-'Pro Forma Balance Sheet'!C5)</f>
        <v>-863.013698630137</v>
      </c>
      <c r="E8" s="24" t="n">
        <f aca="false">-('Pro Forma Balance Sheet'!E5-'Pro Forma Balance Sheet'!D5)</f>
        <v>-785.34246575342</v>
      </c>
      <c r="F8" s="24" t="n">
        <f aca="false">-('Pro Forma Balance Sheet'!F5-'Pro Forma Balance Sheet'!E5)</f>
        <v>-696.710958904117</v>
      </c>
    </row>
    <row r="9" customFormat="false" ht="15.75" hidden="false" customHeight="false" outlineLevel="0" collapsed="false">
      <c r="A9" s="5" t="s">
        <v>126</v>
      </c>
      <c r="B9" s="24" t="n">
        <f aca="false">-'Pro Forma Balance Sheet'!B6</f>
        <v>-8054.79452054795</v>
      </c>
      <c r="C9" s="24" t="n">
        <f aca="false">-('Pro Forma Balance Sheet'!C6-'Pro Forma Balance Sheet'!B6)</f>
        <v>-251.712328767123</v>
      </c>
      <c r="D9" s="24" t="n">
        <f aca="false">-('Pro Forma Balance Sheet'!D6-'Pro Forma Balance Sheet'!C6)</f>
        <v>-150.060821917808</v>
      </c>
      <c r="E9" s="24" t="n">
        <f aca="false">-('Pro Forma Balance Sheet'!E6-'Pro Forma Balance Sheet'!D6)</f>
        <v>-175.681109589039</v>
      </c>
      <c r="F9" s="24" t="n">
        <f aca="false">-('Pro Forma Balance Sheet'!F6-'Pro Forma Balance Sheet'!E6)</f>
        <v>-21.1985921095911</v>
      </c>
    </row>
    <row r="10" customFormat="false" ht="15.75" hidden="false" customHeight="false" outlineLevel="0" collapsed="false">
      <c r="A10" s="5" t="s">
        <v>127</v>
      </c>
      <c r="B10" s="24" t="n">
        <f aca="false">-'Pro Forma Balance Sheet'!B7</f>
        <v>-20280</v>
      </c>
      <c r="C10" s="24" t="n">
        <f aca="false">-('Pro Forma Balance Sheet'!C7-'Pro Forma Balance Sheet'!B7)</f>
        <v>-734.400000000002</v>
      </c>
      <c r="D10" s="24" t="n">
        <f aca="false">-('Pro Forma Balance Sheet'!D7-'Pro Forma Balance Sheet'!C7)</f>
        <v>-556.32</v>
      </c>
      <c r="E10" s="24" t="n">
        <f aca="false">-('Pro Forma Balance Sheet'!E7-'Pro Forma Balance Sheet'!D7)</f>
        <v>-574.499799999994</v>
      </c>
      <c r="F10" s="24" t="n">
        <f aca="false">-('Pro Forma Balance Sheet'!F7-'Pro Forma Balance Sheet'!E7)</f>
        <v>-248.341420000004</v>
      </c>
    </row>
    <row r="11" customFormat="false" ht="15.75" hidden="false" customHeight="false" outlineLevel="0" collapsed="false">
      <c r="A11" s="5" t="s">
        <v>128</v>
      </c>
      <c r="B11" s="24" t="n">
        <f aca="false">'Pro Forma Balance Sheet'!B18</f>
        <v>23013.698630137</v>
      </c>
      <c r="C11" s="24" t="n">
        <f aca="false">'Pro Forma Balance Sheet'!C18-'Pro Forma Balance Sheet'!B18</f>
        <v>719.178082191782</v>
      </c>
      <c r="D11" s="24" t="n">
        <f aca="false">'Pro Forma Balance Sheet'!D18-'Pro Forma Balance Sheet'!C18</f>
        <v>428.745205479449</v>
      </c>
      <c r="E11" s="24" t="n">
        <f aca="false">'Pro Forma Balance Sheet'!E18-'Pro Forma Balance Sheet'!D18</f>
        <v>501.946027397255</v>
      </c>
      <c r="F11" s="24" t="n">
        <f aca="false">'Pro Forma Balance Sheet'!F18-'Pro Forma Balance Sheet'!E18</f>
        <v>60.5674060273996</v>
      </c>
    </row>
    <row r="12" customFormat="false" ht="15.75" hidden="false" customHeight="false" outlineLevel="0" collapsed="false">
      <c r="A12" s="5" t="s">
        <v>129</v>
      </c>
      <c r="B12" s="24" t="n">
        <f aca="false">'Pro Forma Balance Sheet'!B19</f>
        <v>52500</v>
      </c>
      <c r="C12" s="24" t="n">
        <f aca="false">'Pro Forma Balance Sheet'!C19-'Pro Forma Balance Sheet'!B19</f>
        <v>1668.75</v>
      </c>
      <c r="D12" s="24" t="n">
        <f aca="false">'Pro Forma Balance Sheet'!D19-'Pro Forma Balance Sheet'!C19</f>
        <v>1329.75</v>
      </c>
      <c r="E12" s="24" t="n">
        <f aca="false">'Pro Forma Balance Sheet'!E19-'Pro Forma Balance Sheet'!D19</f>
        <v>1156.50416666665</v>
      </c>
      <c r="F12" s="24" t="n">
        <f aca="false">'Pro Forma Balance Sheet'!F19-'Pro Forma Balance Sheet'!E19</f>
        <v>972.010166666682</v>
      </c>
    </row>
    <row r="13" customFormat="false" ht="15.75" hidden="false" customHeight="false" outlineLevel="0" collapsed="false">
      <c r="A13" s="23"/>
      <c r="B13" s="23"/>
      <c r="C13" s="23"/>
      <c r="D13" s="23"/>
      <c r="E13" s="23"/>
      <c r="F13" s="23"/>
    </row>
    <row r="14" customFormat="false" ht="16.5" hidden="false" customHeight="true" outlineLevel="0" collapsed="false">
      <c r="A14" s="33" t="s">
        <v>130</v>
      </c>
      <c r="B14" s="29" t="n">
        <f aca="false">SUM(B4:B5,B8:B12)</f>
        <v>109130.95890411</v>
      </c>
      <c r="C14" s="29" t="n">
        <f aca="false">SUM(C4:C5,C8:C12)</f>
        <v>106690.668493151</v>
      </c>
      <c r="D14" s="29" t="n">
        <f aca="false">SUM(D4:D5,D8:D12)</f>
        <v>139974.900684931</v>
      </c>
      <c r="E14" s="29" t="n">
        <f aca="false">SUM(E4:E5,E8:E12)</f>
        <v>159942.098068721</v>
      </c>
      <c r="F14" s="29" t="n">
        <f aca="false">SUM(F4:F5,F8:F12)</f>
        <v>193838.60323168</v>
      </c>
    </row>
    <row r="15" customFormat="false" ht="16.5" hidden="false" customHeight="true" outlineLevel="0" collapsed="false">
      <c r="A15" s="23"/>
      <c r="B15" s="23"/>
      <c r="C15" s="23"/>
      <c r="D15" s="23"/>
      <c r="E15" s="23"/>
      <c r="F15" s="23"/>
    </row>
    <row r="16" customFormat="false" ht="15.75" hidden="false" customHeight="false" outlineLevel="0" collapsed="false">
      <c r="A16" s="4" t="s">
        <v>131</v>
      </c>
      <c r="B16" s="4"/>
      <c r="C16" s="4"/>
      <c r="D16" s="4"/>
      <c r="E16" s="4"/>
      <c r="F16" s="4"/>
    </row>
    <row r="17" customFormat="false" ht="15.75" hidden="false" customHeight="false" outlineLevel="0" collapsed="false">
      <c r="A17" s="5" t="s">
        <v>34</v>
      </c>
      <c r="B17" s="24" t="n">
        <f aca="false">-'Assumptions &amp; Inputs'!C28</f>
        <v>-500000</v>
      </c>
      <c r="C17" s="24" t="n">
        <f aca="false">-'Assumptions &amp; Inputs'!D28</f>
        <v>-0</v>
      </c>
      <c r="D17" s="24" t="n">
        <f aca="false">-'Assumptions &amp; Inputs'!E28</f>
        <v>-0</v>
      </c>
      <c r="E17" s="24" t="n">
        <f aca="false">-'Assumptions &amp; Inputs'!F28</f>
        <v>-0</v>
      </c>
      <c r="F17" s="24" t="n">
        <f aca="false">-'Assumptions &amp; Inputs'!G28</f>
        <v>-0</v>
      </c>
    </row>
    <row r="18" customFormat="false" ht="15.75" hidden="false" customHeight="false" outlineLevel="0" collapsed="false">
      <c r="A18" s="5" t="s">
        <v>132</v>
      </c>
      <c r="B18" s="24" t="n">
        <f aca="false">-'Assumptions &amp; Inputs'!C29</f>
        <v>-25000</v>
      </c>
      <c r="C18" s="24" t="n">
        <f aca="false">-'Assumptions &amp; Inputs'!D29</f>
        <v>-30000</v>
      </c>
      <c r="D18" s="24" t="n">
        <f aca="false">-'Assumptions &amp; Inputs'!E29</f>
        <v>-35000</v>
      </c>
      <c r="E18" s="24" t="n">
        <f aca="false">-'Assumptions &amp; Inputs'!F29</f>
        <v>-35000</v>
      </c>
      <c r="F18" s="24" t="n">
        <f aca="false">-'Assumptions &amp; Inputs'!G29</f>
        <v>-40000</v>
      </c>
    </row>
    <row r="19" customFormat="false" ht="15.75" hidden="false" customHeight="false" outlineLevel="0" collapsed="false">
      <c r="A19" s="5" t="s">
        <v>36</v>
      </c>
      <c r="B19" s="24" t="n">
        <f aca="false">-'Assumptions &amp; Inputs'!C30</f>
        <v>-0</v>
      </c>
      <c r="C19" s="24" t="n">
        <f aca="false">-'Assumptions &amp; Inputs'!D30</f>
        <v>-0</v>
      </c>
      <c r="D19" s="24" t="n">
        <f aca="false">-'Assumptions &amp; Inputs'!E30</f>
        <v>-75000</v>
      </c>
      <c r="E19" s="24" t="n">
        <f aca="false">-'Assumptions &amp; Inputs'!F30</f>
        <v>-0</v>
      </c>
      <c r="F19" s="24" t="n">
        <f aca="false">-'Assumptions &amp; Inputs'!G30</f>
        <v>-0</v>
      </c>
    </row>
    <row r="20" customFormat="false" ht="15.75" hidden="false" customHeight="false" outlineLevel="0" collapsed="false">
      <c r="A20" s="23"/>
      <c r="B20" s="23"/>
      <c r="C20" s="23"/>
      <c r="D20" s="23"/>
      <c r="E20" s="23"/>
      <c r="F20" s="23"/>
    </row>
    <row r="21" customFormat="false" ht="16.5" hidden="false" customHeight="true" outlineLevel="0" collapsed="false">
      <c r="A21" s="33" t="s">
        <v>133</v>
      </c>
      <c r="B21" s="29" t="n">
        <f aca="false">SUM(B17:B19)</f>
        <v>-525000</v>
      </c>
      <c r="C21" s="29" t="n">
        <f aca="false">SUM(C17:C19)</f>
        <v>-30000</v>
      </c>
      <c r="D21" s="29" t="n">
        <f aca="false">SUM(D17:D19)</f>
        <v>-110000</v>
      </c>
      <c r="E21" s="29" t="n">
        <f aca="false">SUM(E17:E19)</f>
        <v>-35000</v>
      </c>
      <c r="F21" s="29" t="n">
        <f aca="false">SUM(F17:F19)</f>
        <v>-40000</v>
      </c>
    </row>
    <row r="22" customFormat="false" ht="16.5" hidden="false" customHeight="true" outlineLevel="0" collapsed="false">
      <c r="A22" s="23"/>
      <c r="B22" s="23"/>
      <c r="C22" s="23"/>
      <c r="D22" s="23"/>
      <c r="E22" s="23"/>
      <c r="F22" s="23"/>
    </row>
    <row r="23" customFormat="false" ht="15.75" hidden="false" customHeight="false" outlineLevel="0" collapsed="false">
      <c r="A23" s="4" t="s">
        <v>134</v>
      </c>
      <c r="B23" s="4"/>
      <c r="C23" s="4"/>
      <c r="D23" s="4"/>
      <c r="E23" s="4"/>
      <c r="F23" s="4"/>
    </row>
    <row r="24" customFormat="false" ht="15.75" hidden="false" customHeight="false" outlineLevel="0" collapsed="false">
      <c r="A24" s="5" t="s">
        <v>135</v>
      </c>
      <c r="B24" s="24" t="n">
        <f aca="false">'Assumptions &amp; Inputs'!C35</f>
        <v>400000</v>
      </c>
      <c r="C24" s="24" t="n">
        <f aca="false">0</f>
        <v>0</v>
      </c>
      <c r="D24" s="24" t="n">
        <f aca="false">0</f>
        <v>0</v>
      </c>
      <c r="E24" s="24" t="n">
        <f aca="false">0</f>
        <v>0</v>
      </c>
      <c r="F24" s="24" t="n">
        <f aca="false">0</f>
        <v>0</v>
      </c>
    </row>
    <row r="25" customFormat="false" ht="15.75" hidden="false" customHeight="false" outlineLevel="0" collapsed="false">
      <c r="A25" s="5" t="s">
        <v>136</v>
      </c>
      <c r="B25" s="24" t="n">
        <f aca="false">-'Assumptions &amp; Inputs'!C38</f>
        <v>-40000</v>
      </c>
      <c r="C25" s="24" t="n">
        <f aca="false">-'Assumptions &amp; Inputs'!D38</f>
        <v>-40000</v>
      </c>
      <c r="D25" s="24" t="n">
        <f aca="false">-'Assumptions &amp; Inputs'!E38</f>
        <v>-40000</v>
      </c>
      <c r="E25" s="24" t="n">
        <f aca="false">-'Assumptions &amp; Inputs'!F38</f>
        <v>-40000</v>
      </c>
      <c r="F25" s="24" t="n">
        <f aca="false">-'Assumptions &amp; Inputs'!G38</f>
        <v>-40000</v>
      </c>
    </row>
    <row r="26" customFormat="false" ht="15.75" hidden="false" customHeight="false" outlineLevel="0" collapsed="false">
      <c r="A26" s="6" t="s">
        <v>137</v>
      </c>
      <c r="B26" s="24" t="n">
        <f aca="false">0</f>
        <v>0</v>
      </c>
      <c r="C26" s="24" t="n">
        <f aca="false">0</f>
        <v>0</v>
      </c>
      <c r="D26" s="24" t="n">
        <f aca="false">0</f>
        <v>0</v>
      </c>
      <c r="E26" s="24" t="n">
        <f aca="false">0</f>
        <v>0</v>
      </c>
      <c r="F26" s="24" t="n">
        <f aca="false">0</f>
        <v>0</v>
      </c>
    </row>
    <row r="27" customFormat="false" ht="15.75" hidden="false" customHeight="false" outlineLevel="0" collapsed="false">
      <c r="A27" s="5" t="s">
        <v>138</v>
      </c>
      <c r="B27" s="24" t="n">
        <f aca="false">'Assumptions &amp; Inputs'!C48</f>
        <v>200000</v>
      </c>
      <c r="C27" s="24" t="n">
        <f aca="false">'Assumptions &amp; Inputs'!D48</f>
        <v>0</v>
      </c>
      <c r="D27" s="24" t="n">
        <f aca="false">'Assumptions &amp; Inputs'!E48</f>
        <v>0</v>
      </c>
      <c r="E27" s="24" t="n">
        <f aca="false">'Assumptions &amp; Inputs'!F48</f>
        <v>0</v>
      </c>
      <c r="F27" s="24" t="n">
        <f aca="false">'Assumptions &amp; Inputs'!G48</f>
        <v>0</v>
      </c>
    </row>
    <row r="28" customFormat="false" ht="15.75" hidden="false" customHeight="false" outlineLevel="0" collapsed="false">
      <c r="A28" s="5" t="s">
        <v>139</v>
      </c>
      <c r="B28" s="24" t="n">
        <f aca="false">-'Pro Forma Income Statement'!B45*'Assumptions &amp; Inputs'!C49</f>
        <v>-0</v>
      </c>
      <c r="C28" s="24" t="n">
        <f aca="false">-'Pro Forma Income Statement'!C45*'Assumptions &amp; Inputs'!D49</f>
        <v>-5081.625</v>
      </c>
      <c r="D28" s="24" t="n">
        <f aca="false">-'Pro Forma Income Statement'!D45*'Assumptions &amp; Inputs'!E49</f>
        <v>-10992.87</v>
      </c>
      <c r="E28" s="24" t="n">
        <f aca="false">-'Pro Forma Income Statement'!E45*'Assumptions &amp; Inputs'!F49</f>
        <v>-17963.83425</v>
      </c>
      <c r="F28" s="24" t="n">
        <f aca="false">-'Pro Forma Income Statement'!F45*'Assumptions &amp; Inputs'!G49</f>
        <v>-29943.0691575</v>
      </c>
    </row>
    <row r="29" customFormat="false" ht="15.75" hidden="false" customHeight="false" outlineLevel="0" collapsed="false">
      <c r="A29" s="23"/>
      <c r="B29" s="23"/>
      <c r="C29" s="23"/>
      <c r="D29" s="23"/>
      <c r="E29" s="23"/>
      <c r="F29" s="23"/>
    </row>
    <row r="30" customFormat="false" ht="16.5" hidden="false" customHeight="true" outlineLevel="0" collapsed="false">
      <c r="A30" s="33" t="s">
        <v>140</v>
      </c>
      <c r="B30" s="29" t="n">
        <f aca="false">SUM(B24:B28)</f>
        <v>560000</v>
      </c>
      <c r="C30" s="29" t="n">
        <f aca="false">SUM(C24:C28)</f>
        <v>-45081.625</v>
      </c>
      <c r="D30" s="29" t="n">
        <f aca="false">SUM(D24:D28)</f>
        <v>-50992.87</v>
      </c>
      <c r="E30" s="29" t="n">
        <f aca="false">SUM(E24:E28)</f>
        <v>-57963.83425</v>
      </c>
      <c r="F30" s="29" t="n">
        <f aca="false">SUM(F24:F28)</f>
        <v>-69943.0691575</v>
      </c>
    </row>
    <row r="31" customFormat="false" ht="16.5" hidden="false" customHeight="true" outlineLevel="0" collapsed="false">
      <c r="A31" s="23"/>
      <c r="B31" s="23"/>
      <c r="C31" s="23"/>
      <c r="D31" s="23"/>
      <c r="E31" s="23"/>
      <c r="F31" s="23"/>
    </row>
    <row r="32" customFormat="false" ht="15.75" hidden="false" customHeight="false" outlineLevel="0" collapsed="false">
      <c r="A32" s="4" t="s">
        <v>141</v>
      </c>
      <c r="B32" s="4"/>
      <c r="C32" s="4"/>
      <c r="D32" s="4"/>
      <c r="E32" s="4"/>
      <c r="F32" s="4"/>
    </row>
    <row r="33" customFormat="false" ht="16.5" hidden="false" customHeight="true" outlineLevel="0" collapsed="false">
      <c r="A33" s="33" t="s">
        <v>142</v>
      </c>
      <c r="B33" s="29" t="n">
        <f aca="false">B14+B21+B30</f>
        <v>144130.95890411</v>
      </c>
      <c r="C33" s="29" t="n">
        <f aca="false">C14+C21+C30</f>
        <v>31609.0434931507</v>
      </c>
      <c r="D33" s="29" t="n">
        <f aca="false">D14+D21+D30</f>
        <v>-21017.9693150686</v>
      </c>
      <c r="E33" s="29" t="n">
        <f aca="false">E14+E21+E30</f>
        <v>66978.2638187215</v>
      </c>
      <c r="F33" s="29" t="n">
        <f aca="false">F14+F21+F30</f>
        <v>83895.5340741803</v>
      </c>
    </row>
    <row r="34" customFormat="false" ht="16.5" hidden="false" customHeight="true" outlineLevel="0" collapsed="false">
      <c r="A34" s="23"/>
      <c r="B34" s="23"/>
      <c r="C34" s="23"/>
      <c r="D34" s="23"/>
      <c r="E34" s="23"/>
      <c r="F34" s="23"/>
    </row>
    <row r="35" customFormat="false" ht="15.75" hidden="false" customHeight="false" outlineLevel="0" collapsed="false">
      <c r="A35" s="5" t="s">
        <v>143</v>
      </c>
      <c r="B35" s="24" t="n">
        <f aca="false">'Assumptions &amp; Inputs'!C47</f>
        <v>100000</v>
      </c>
      <c r="C35" s="24" t="n">
        <f aca="false">B37</f>
        <v>244130.95890411</v>
      </c>
      <c r="D35" s="24" t="n">
        <f aca="false">C37</f>
        <v>275740.00239726</v>
      </c>
      <c r="E35" s="24" t="n">
        <f aca="false">D37</f>
        <v>254722.033082192</v>
      </c>
      <c r="F35" s="24" t="n">
        <f aca="false">E37</f>
        <v>321700.296900913</v>
      </c>
    </row>
    <row r="36" customFormat="false" ht="15.75" hidden="false" customHeight="false" outlineLevel="0" collapsed="false">
      <c r="A36" s="23"/>
      <c r="B36" s="23"/>
      <c r="C36" s="23"/>
      <c r="D36" s="23"/>
      <c r="E36" s="23"/>
      <c r="F36" s="23"/>
    </row>
    <row r="37" customFormat="false" ht="16.5" hidden="false" customHeight="true" outlineLevel="0" collapsed="false">
      <c r="A37" s="34" t="s">
        <v>144</v>
      </c>
      <c r="B37" s="32" t="n">
        <f aca="false">B35+B33</f>
        <v>244130.95890411</v>
      </c>
      <c r="C37" s="32" t="n">
        <f aca="false">C35+C33</f>
        <v>275740.00239726</v>
      </c>
      <c r="D37" s="32" t="n">
        <f aca="false">D35+D33</f>
        <v>254722.033082192</v>
      </c>
      <c r="E37" s="32" t="n">
        <f aca="false">E35+E33</f>
        <v>321700.296900913</v>
      </c>
      <c r="F37" s="32" t="n">
        <f aca="false">F35+F33</f>
        <v>405595.830975094</v>
      </c>
    </row>
    <row r="38" customFormat="false" ht="16.5" hidden="false" customHeight="true" outlineLevel="0" collapsed="false">
      <c r="A38" s="23"/>
      <c r="B38" s="23"/>
      <c r="C38" s="23"/>
      <c r="D38" s="23"/>
      <c r="E38" s="23"/>
      <c r="F38" s="23"/>
    </row>
    <row r="39" customFormat="false" ht="15.75" hidden="false" customHeight="false" outlineLevel="0" collapsed="false">
      <c r="A39" s="4" t="s">
        <v>145</v>
      </c>
      <c r="B39" s="4"/>
      <c r="C39" s="4"/>
      <c r="D39" s="4"/>
      <c r="E39" s="4"/>
      <c r="F39" s="4"/>
    </row>
    <row r="40" customFormat="false" ht="15.75" hidden="false" customHeight="false" outlineLevel="0" collapsed="false">
      <c r="A40" s="5" t="s">
        <v>146</v>
      </c>
      <c r="B40" s="24" t="n">
        <f aca="false">B14</f>
        <v>109130.95890411</v>
      </c>
      <c r="C40" s="24" t="n">
        <f aca="false">C14</f>
        <v>106690.668493151</v>
      </c>
      <c r="D40" s="24" t="n">
        <f aca="false">D14</f>
        <v>139974.900684931</v>
      </c>
      <c r="E40" s="24" t="n">
        <f aca="false">E14</f>
        <v>159942.098068721</v>
      </c>
      <c r="F40" s="24" t="n">
        <f aca="false">F14</f>
        <v>193838.60323168</v>
      </c>
    </row>
    <row r="41" customFormat="false" ht="15.75" hidden="false" customHeight="false" outlineLevel="0" collapsed="false">
      <c r="A41" s="5" t="s">
        <v>147</v>
      </c>
      <c r="B41" s="24" t="n">
        <f aca="false">B21</f>
        <v>-525000</v>
      </c>
      <c r="C41" s="24" t="n">
        <f aca="false">C21</f>
        <v>-30000</v>
      </c>
      <c r="D41" s="24" t="n">
        <f aca="false">D21</f>
        <v>-110000</v>
      </c>
      <c r="E41" s="24" t="n">
        <f aca="false">E21</f>
        <v>-35000</v>
      </c>
      <c r="F41" s="24" t="n">
        <f aca="false">F21</f>
        <v>-40000</v>
      </c>
    </row>
    <row r="42" customFormat="false" ht="16.5" hidden="false" customHeight="true" outlineLevel="0" collapsed="false">
      <c r="A42" s="34" t="s">
        <v>148</v>
      </c>
      <c r="B42" s="32" t="n">
        <f aca="false">B40+B41</f>
        <v>-415869.04109589</v>
      </c>
      <c r="C42" s="32" t="n">
        <f aca="false">C40+C41</f>
        <v>76690.6684931507</v>
      </c>
      <c r="D42" s="32" t="n">
        <f aca="false">D40+D41</f>
        <v>29974.9006849314</v>
      </c>
      <c r="E42" s="32" t="n">
        <f aca="false">E40+E41</f>
        <v>124942.098068721</v>
      </c>
      <c r="F42" s="32" t="n">
        <f aca="false">F40+F41</f>
        <v>153838.60323168</v>
      </c>
    </row>
    <row r="43" customFormat="false" ht="16.5" hidden="false" customHeight="true" outlineLevel="0" collapsed="false">
      <c r="A43" s="6" t="s">
        <v>149</v>
      </c>
      <c r="B43" s="30" t="n">
        <f aca="false">IF('Pro Forma Income Statement'!B4=0,0,B42/'Pro Forma Income Statement'!B4)</f>
        <v>-0.27724602739726</v>
      </c>
      <c r="C43" s="30" t="n">
        <f aca="false">IF('Pro Forma Income Statement'!C4=0,0,C42/'Pro Forma Income Statement'!C4)</f>
        <v>0.0486924879321592</v>
      </c>
      <c r="D43" s="30" t="n">
        <f aca="false">IF('Pro Forma Income Statement'!D4=0,0,D42/'Pro Forma Income Statement'!D4)</f>
        <v>0.0182996951678458</v>
      </c>
      <c r="E43" s="30" t="n">
        <f aca="false">IF('Pro Forma Income Statement'!E4=0,0,E42/'Pro Forma Income Statement'!E4)</f>
        <v>0.073697804007905</v>
      </c>
      <c r="F43" s="30" t="n">
        <f aca="false">IF('Pro Forma Income Statement'!F4=0,0,F42/'Pro Forma Income Statement'!F4)</f>
        <v>0.0880995836888533</v>
      </c>
    </row>
    <row r="44" customFormat="false" ht="15.75" hidden="false" customHeight="false" outlineLevel="0" collapsed="false">
      <c r="A44" s="5" t="s">
        <v>150</v>
      </c>
      <c r="B44" s="24" t="n">
        <f aca="false">B42</f>
        <v>-415869.04109589</v>
      </c>
      <c r="C44" s="24" t="n">
        <f aca="false">B44+C42</f>
        <v>-339178.37260274</v>
      </c>
      <c r="D44" s="24" t="n">
        <f aca="false">C44+D42</f>
        <v>-309203.471917808</v>
      </c>
      <c r="E44" s="24" t="n">
        <f aca="false">D44+E42</f>
        <v>-184261.373849087</v>
      </c>
      <c r="F44" s="24" t="n">
        <f aca="false">E44+F42</f>
        <v>-30422.7706174065</v>
      </c>
    </row>
    <row r="45" customFormat="false" ht="15.75" hidden="false" customHeight="false" outlineLevel="0" collapsed="false">
      <c r="A45" s="23"/>
      <c r="B45" s="23"/>
      <c r="C45" s="23"/>
      <c r="D45" s="23"/>
      <c r="E45" s="23"/>
      <c r="F45" s="23"/>
    </row>
    <row r="46" customFormat="false" ht="15.75" hidden="false" customHeight="false" outlineLevel="0" collapsed="false">
      <c r="A46" s="23"/>
      <c r="B46" s="23"/>
      <c r="C46" s="23"/>
      <c r="D46" s="23"/>
      <c r="E46" s="23"/>
      <c r="F46" s="23"/>
    </row>
    <row r="47" customFormat="false" ht="15.75" hidden="false" customHeight="false" outlineLevel="0" collapsed="false">
      <c r="A47" s="23"/>
      <c r="B47" s="23"/>
      <c r="C47" s="23"/>
      <c r="D47" s="23"/>
      <c r="E47" s="23"/>
      <c r="F47" s="23"/>
    </row>
    <row r="48" customFormat="false" ht="15.75" hidden="false" customHeight="false" outlineLevel="0" collapsed="false">
      <c r="A48" s="23"/>
      <c r="B48" s="23"/>
      <c r="C48" s="23"/>
      <c r="D48" s="23"/>
      <c r="E48" s="23"/>
      <c r="F48" s="23"/>
    </row>
    <row r="49" customFormat="false" ht="15.75" hidden="false" customHeight="false" outlineLevel="0" collapsed="false">
      <c r="A49" s="23"/>
      <c r="B49" s="23"/>
      <c r="C49" s="23"/>
      <c r="D49" s="23"/>
      <c r="E49" s="23"/>
      <c r="F49" s="23"/>
    </row>
  </sheetData>
  <conditionalFormatting sqref="B4:F44">
    <cfRule type="cellIs" priority="2" operator="lessThan" aboveAverage="0" equalAverage="0" bottom="0" percent="0" rank="0" text="" dxfId="0">
      <formula>0</formula>
    </cfRule>
  </conditionalFormatting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LibreOffice/26.2.1.2$MacOSX_AARCH64 LibreOffice_project/8399f6259d8c87f40e7255cdb3c9b958f5e08948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2026-03-22T16:44:01Z</dcterms:created>
  <dc:creator>Bob Evers</dc:creator>
  <dc:description/>
  <dc:language>en-US</dc:language>
  <cp:lastModifiedBy>Bob Evers</cp:lastModifiedBy>
  <dcterms:modified xsi:type="dcterms:W3CDTF">2026-04-11T16:08:18Z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