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hart3.xml" ContentType="application/vnd.openxmlformats-officedocument.drawingml.chart+xml"/>
  <Override PartName="/xl/charts/colors2.xml" ContentType="application/vnd.ms-office.chartcolorstyle+xml"/>
  <Override PartName="/xl/charts/chart1.xml" ContentType="application/vnd.openxmlformats-officedocument.drawingml.chart+xml"/>
  <Override PartName="/xl/charts/style1.xml" ContentType="application/vnd.ms-office.chartstyle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4"/>
  </bookViews>
  <sheets>
    <sheet name="Assumptions" sheetId="1" state="visible" r:id="rId3"/>
    <sheet name="Revenue Model" sheetId="2" state="visible" r:id="rId4"/>
    <sheet name="P&amp;L Projection" sheetId="3" state="visible" r:id="rId5"/>
    <sheet name="Cash Flow" sheetId="4" state="visible" r:id="rId6"/>
    <sheet name="Dashboard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<sst xmlns="http://schemas.openxmlformats.org/spreadsheetml/2006/main" count="240" uniqueCount="175">
  <si>
    <t xml:space="preserve">Consulting Financial Model — Assumptions</t>
  </si>
  <si>
    <t xml:space="preserve">REVENUE ASSUMPTIONS</t>
  </si>
  <si>
    <t xml:space="preserve">Retainer Clients</t>
  </si>
  <si>
    <t xml:space="preserve">  Active Retainer Clients</t>
  </si>
  <si>
    <t xml:space="preserve">  New Clients per Quarter</t>
  </si>
  <si>
    <t xml:space="preserve">  Average Monthly Retainer</t>
  </si>
  <si>
    <t xml:space="preserve">  Client Retention Rate (%)</t>
  </si>
  <si>
    <t xml:space="preserve">  Operating Days per Month</t>
  </si>
  <si>
    <t xml:space="preserve">  Retainer Clients Capacity — Year 1 Start</t>
  </si>
  <si>
    <t xml:space="preserve">  Retainer Clients Capacity — Year 1 End</t>
  </si>
  <si>
    <t xml:space="preserve">  Retainer Clients Capacity — Steady State</t>
  </si>
  <si>
    <t xml:space="preserve">Project Work</t>
  </si>
  <si>
    <t xml:space="preserve">  Monthly Projects — Start</t>
  </si>
  <si>
    <t xml:space="preserve">  Monthly Projects — Steady State</t>
  </si>
  <si>
    <t xml:space="preserve">  Average Project Fee</t>
  </si>
  <si>
    <t xml:space="preserve">  Subcontractor Share (%)</t>
  </si>
  <si>
    <t xml:space="preserve">Workshops &amp; Training</t>
  </si>
  <si>
    <t xml:space="preserve">  Monthly Workshops — Start</t>
  </si>
  <si>
    <t xml:space="preserve">  Monthly Workshops — Steady State</t>
  </si>
  <si>
    <t xml:space="preserve">  Average Workshop Revenue</t>
  </si>
  <si>
    <t xml:space="preserve">Annual Growth Rates</t>
  </si>
  <si>
    <t xml:space="preserve">  Revenue Growth — Year 2</t>
  </si>
  <si>
    <t xml:space="preserve">  Revenue Growth — Year 3</t>
  </si>
  <si>
    <t xml:space="preserve">  Revenue Growth — Year 4</t>
  </si>
  <si>
    <t xml:space="preserve">  Revenue Growth — Year 5</t>
  </si>
  <si>
    <t xml:space="preserve">COST OF GOODS SOLD</t>
  </si>
  <si>
    <t xml:space="preserve">  Delivery Cost (% of Retainer Clients Revenue)</t>
  </si>
  <si>
    <t xml:space="preserve">  Project Cost (% of Project Work Revenue)</t>
  </si>
  <si>
    <t xml:space="preserve">  Workshop Cost (% of Workshops &amp; Training Revenue)</t>
  </si>
  <si>
    <t xml:space="preserve">LABOR ASSUMPTIONS</t>
  </si>
  <si>
    <t xml:space="preserve">Headcount</t>
  </si>
  <si>
    <t xml:space="preserve">Annual Salary</t>
  </si>
  <si>
    <t xml:space="preserve">  Managing Partner</t>
  </si>
  <si>
    <t xml:space="preserve">  Senior Consultant</t>
  </si>
  <si>
    <t xml:space="preserve">  Consultants</t>
  </si>
  <si>
    <t xml:space="preserve">  Analysts</t>
  </si>
  <si>
    <t xml:space="preserve">  Business Dev Manager</t>
  </si>
  <si>
    <t xml:space="preserve">  Project Coordinator</t>
  </si>
  <si>
    <t xml:space="preserve">  Administrative Staff</t>
  </si>
  <si>
    <t xml:space="preserve">  Research Associate</t>
  </si>
  <si>
    <t xml:space="preserve">  Payroll Tax &amp; Benefits (% of Salaries)</t>
  </si>
  <si>
    <t xml:space="preserve">  Annual Salary Increase</t>
  </si>
  <si>
    <t xml:space="preserve">OPERATING EXPENSES</t>
  </si>
  <si>
    <t xml:space="preserve">  Monthly Rent</t>
  </si>
  <si>
    <t xml:space="preserve">  Annual Rent Escalation</t>
  </si>
  <si>
    <t xml:space="preserve">  Utilities — Monthly</t>
  </si>
  <si>
    <t xml:space="preserve">  Insurance — Monthly</t>
  </si>
  <si>
    <t xml:space="preserve">  Marketing &amp; Advertising — Monthly</t>
  </si>
  <si>
    <t xml:space="preserve">  Repairs &amp; Maintenance — Monthly</t>
  </si>
  <si>
    <t xml:space="preserve">  Research &amp; Travel — Monthly</t>
  </si>
  <si>
    <t xml:space="preserve">  Software &amp; Subscriptions — Monthly</t>
  </si>
  <si>
    <t xml:space="preserve">  Licenses &amp; Permits — Annual</t>
  </si>
  <si>
    <t xml:space="preserve">  Professional Services — Monthly</t>
  </si>
  <si>
    <t xml:space="preserve">  Miscellaneous — Monthly</t>
  </si>
  <si>
    <t xml:space="preserve">FINANCING ASSUMPTIONS</t>
  </si>
  <si>
    <t xml:space="preserve">  Initial Startup / CapEx</t>
  </si>
  <si>
    <t xml:space="preserve">  Loan Amount</t>
  </si>
  <si>
    <t xml:space="preserve">  Equity Contribution</t>
  </si>
  <si>
    <t xml:space="preserve">  Annual Interest Rate</t>
  </si>
  <si>
    <t xml:space="preserve">  Loan Term (years)</t>
  </si>
  <si>
    <t xml:space="preserve">  Annual Depreciation (Straight-Line)</t>
  </si>
  <si>
    <t xml:space="preserve">TAX &amp; WORKING CAPITAL</t>
  </si>
  <si>
    <t xml:space="preserve">  Effective Tax Rate</t>
  </si>
  <si>
    <t xml:space="preserve">  Days Receivable (AR)</t>
  </si>
  <si>
    <t xml:space="preserve">  Days Payable (AP)</t>
  </si>
  <si>
    <t xml:space="preserve">  Days Inventory</t>
  </si>
  <si>
    <t xml:space="preserve">  Opening Cash Balance</t>
  </si>
  <si>
    <t xml:space="preserve">Revenue Model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</si>
  <si>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</si>
  <si>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</si>
  <si>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</si>
  <si>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</si>
  <si>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</si>
  <si>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</si>
  <si>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</si>
  <si>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</si>
  <si>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</si>
  <si>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</si>
  <si>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</si>
  <si>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</si>
  <si>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Year 2</t>
  </si>
  <si>
    <t xml:space="preserve">Year 3</t>
  </si>
  <si>
    <t xml:space="preserve">Year 4</t>
  </si>
  <si>
    <t xml:space="preserve">Year 5</t>
  </si>
  <si>
    <t xml:space="preserve">OCCUPANCY &amp; VOLUME RAMP</t>
  </si>
  <si>
    <t xml:space="preserve">  Retainer Clients Volume</t>
  </si>
  <si>
    <t xml:space="preserve">  Project Work Volume</t>
  </si>
  <si>
    <t xml:space="preserve">  Workshops &amp; Training Volume</t>
  </si>
  <si>
    <t xml:space="preserve">RETAINER CLIENTS REVENUE</t>
  </si>
  <si>
    <t xml:space="preserve">  Retainer Clients Revenue</t>
  </si>
  <si>
    <t xml:space="preserve">  Retainer Clients Add-On Revenue</t>
  </si>
  <si>
    <t xml:space="preserve">  Total Retainer Clients Revenue</t>
  </si>
  <si>
    <t xml:space="preserve">PROJECT WORK REVENUE</t>
  </si>
  <si>
    <t xml:space="preserve">  Gross Project Work Revenue</t>
  </si>
  <si>
    <t xml:space="preserve">  Less: Project Work Fees</t>
  </si>
  <si>
    <t xml:space="preserve">  Net Project Work Revenue</t>
  </si>
  <si>
    <t xml:space="preserve">WORKSHOPS &amp; TRAINING REVENUE</t>
  </si>
  <si>
    <t xml:space="preserve">  Workshops &amp; Training Revenue</t>
  </si>
  <si>
    <t xml:space="preserve">  Total Workshops &amp; Training Revenue</t>
  </si>
  <si>
    <t xml:space="preserve">TOTAL REVENUE</t>
  </si>
  <si>
    <t xml:space="preserve">  Total Revenue</t>
  </si>
  <si>
    <t xml:space="preserve">  YoY Growth Rate</t>
  </si>
  <si>
    <t xml:space="preserve">P&amp;L Projection</t>
  </si>
  <si>
    <t xml:space="preserve">REVENUE</t>
  </si>
  <si>
    <t xml:space="preserve">  Project Work Revenue</t>
  </si>
  <si>
    <t xml:space="preserve">Total Revenue</t>
  </si>
  <si>
    <t xml:space="preserve">  Retainer Delivery COGS</t>
  </si>
  <si>
    <t xml:space="preserve">  Project COGS</t>
  </si>
  <si>
    <t xml:space="preserve">  Workshop COGS</t>
  </si>
  <si>
    <t xml:space="preserve">Total COGS</t>
  </si>
  <si>
    <t xml:space="preserve">Gross Profit</t>
  </si>
  <si>
    <t xml:space="preserve">  Gross Margin %</t>
  </si>
  <si>
    <t xml:space="preserve">LABOR COSTS</t>
  </si>
  <si>
    <t xml:space="preserve">  Base Salaries</t>
  </si>
  <si>
    <t xml:space="preserve">  Payroll Tax &amp; Benefits</t>
  </si>
  <si>
    <t xml:space="preserve">Total Labor Costs</t>
  </si>
  <si>
    <t xml:space="preserve">  Rent</t>
  </si>
  <si>
    <t xml:space="preserve">  Utilities</t>
  </si>
  <si>
    <t xml:space="preserve">  Insurance</t>
  </si>
  <si>
    <t xml:space="preserve">  Marketing &amp; Advertising</t>
  </si>
  <si>
    <t xml:space="preserve">  Repairs &amp; Maintenance</t>
  </si>
  <si>
    <t xml:space="preserve">  Research &amp; Travel</t>
  </si>
  <si>
    <t xml:space="preserve">  Software &amp; Subscriptions</t>
  </si>
  <si>
    <t xml:space="preserve">  Licenses &amp; Permits</t>
  </si>
  <si>
    <t xml:space="preserve">  Professional Services</t>
  </si>
  <si>
    <t xml:space="preserve">  Miscellaneous</t>
  </si>
  <si>
    <t xml:space="preserve">Total Operating Expenses</t>
  </si>
  <si>
    <t xml:space="preserve">EBITDA</t>
  </si>
  <si>
    <t xml:space="preserve">  EBITDA Margin %</t>
  </si>
  <si>
    <t xml:space="preserve">DEPRECIATION &amp; AMORTIZATION</t>
  </si>
  <si>
    <t xml:space="preserve">  Depreciation</t>
  </si>
  <si>
    <t xml:space="preserve">EBIT (Operating Income)</t>
  </si>
  <si>
    <t xml:space="preserve">INTEREST EXPENSE</t>
  </si>
  <si>
    <t xml:space="preserve">  Interest on Loan</t>
  </si>
  <si>
    <t xml:space="preserve">Earnings Before Tax (EBT)</t>
  </si>
  <si>
    <t xml:space="preserve">  Income Tax</t>
  </si>
  <si>
    <t xml:space="preserve">Net Income</t>
  </si>
  <si>
    <t xml:space="preserve">  Net Margin %</t>
  </si>
  <si>
    <t xml:space="preserve">Cash Flow Projection</t>
  </si>
  <si>
    <t xml:space="preserve">OPERATING CASH FLOW</t>
  </si>
  <si>
    <t xml:space="preserve">  Net Income</t>
  </si>
  <si>
    <t xml:space="preserve">  Add: Depreciation</t>
  </si>
  <si>
    <t xml:space="preserve">WORKING CAPITAL CHANGES</t>
  </si>
  <si>
    <t xml:space="preserve">  Change in Accounts Receivable</t>
  </si>
  <si>
    <t xml:space="preserve">  Change in Inventory</t>
  </si>
  <si>
    <t xml:space="preserve">  Change in Accounts Payable</t>
  </si>
  <si>
    <t xml:space="preserve">Net Working Capital Change</t>
  </si>
  <si>
    <t xml:space="preserve">Cash from Operations</t>
  </si>
  <si>
    <t xml:space="preserve">INVESTING ACTIVITIES</t>
  </si>
  <si>
    <t xml:space="preserve">  Capital Expenditure (Startup)</t>
  </si>
  <si>
    <t xml:space="preserve">Cash from Investing</t>
  </si>
  <si>
    <t xml:space="preserve">FINANCING ACTIVITIES</t>
  </si>
  <si>
    <t xml:space="preserve">  Loan Proceeds</t>
  </si>
  <si>
    <t xml:space="preserve">  Loan Principal Repayment</t>
  </si>
  <si>
    <t xml:space="preserve">Cash from Financing</t>
  </si>
  <si>
    <t xml:space="preserve">Net Cash Flow</t>
  </si>
  <si>
    <t xml:space="preserve">CASH POSITION</t>
  </si>
  <si>
    <t xml:space="preserve">Closing Cash Balance</t>
  </si>
  <si>
    <t xml:space="preserve">Dashboard — Key Metrics</t>
  </si>
  <si>
    <t xml:space="preserve">5-YEAR KEY METRICS SUMMARY</t>
  </si>
  <si>
    <t xml:space="preserve">Year 1</t>
  </si>
  <si>
    <t xml:space="preserve">  Gross Profit</t>
  </si>
  <si>
    <t xml:space="preserve">  EBITDA</t>
  </si>
  <si>
    <t xml:space="preserve">  Closing Cash Balance</t>
  </si>
  <si>
    <t xml:space="preserve">BREAK-EVEN ANALYSIS</t>
  </si>
  <si>
    <t xml:space="preserve">  Break-Even Month</t>
  </si>
  <si>
    <t xml:space="preserve">  First Profitable Month Name</t>
  </si>
  <si>
    <t xml:space="preserve">CHART DATA — Revenue &amp; Margins</t>
  </si>
  <si>
    <t xml:space="preserve">Revenue</t>
  </si>
  <si>
    <t xml:space="preserve">CHART DATA — Margin Evolution</t>
  </si>
  <si>
    <t xml:space="preserve">Gross Margin %</t>
  </si>
  <si>
    <t xml:space="preserve">EBITDA Margin %</t>
  </si>
  <si>
    <t xml:space="preserve">Net Margin %</t>
  </si>
  <si>
    <t xml:space="preserve">CHART DATA — Cash Position</t>
  </si>
  <si>
    <t xml:space="preserve">Cash Balance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</si>
</sst>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"/>
    <numFmt numFmtId="166" formatCode="0.0"/>
    <numFmt numFmtId="167" formatCode="\$#,##0.00"/>
    <numFmt numFmtId="168" formatCode="0.0%"/>
    <numFmt numFmtId="169" formatCode="\$#,##0"/>
    <numFmt numFmtId="170" formatCode="\$#,##0;&quot;($&quot;#,##0\);\-"/>
    <numFmt numFmtId="171" formatCode="\$#,##0;[RED]&quot;($&quot;#,##0\);\-"/>
    <numFmt numFmtId="172" formatCode="@"/>
  </numFmts>
  <fonts count="13">
    <font>
      <sz val="12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Aptos"/>
      <family val="0"/>
      <charset val="1"/>
    </font>
    <font>
      <b val="true"/>
      <sz val="13"/>
      <color rgb="FFFFFFFF"/>
      <name val="Aptos"/>
      <family val="0"/>
      <charset val="1"/>
    </font>
    <font>
      <b val="true"/>
      <sz val="11"/>
      <color rgb="FF1A3A2A"/>
      <name val="Aptos"/>
      <family val="0"/>
      <charset val="1"/>
    </font>
    <font>
      <sz val="11"/>
      <color rgb="FF0F172A"/>
      <name val="Aptos"/>
      <family val="0"/>
      <charset val="1"/>
    </font>
    <font>
      <i val="true"/>
      <sz val="11"/>
      <color rgb="FF334155"/>
      <name val="Aptos"/>
      <family val="0"/>
      <charset val="1"/>
    </font>
    <font>
      <b val="true"/>
      <sz val="11"/>
      <color theme="1"/>
      <name val="Aptos"/>
      <family val="0"/>
      <charset val="1"/>
    </font>
    <font>
      <sz val="14"/>
      <color rgb="FF595959"/>
      <name val="Aptos Narrow"/>
      <family val="2"/>
    </font>
    <font>
      <sz val="9"/>
      <color rgb="FF595959"/>
      <name val="Aptos Narrow"/>
      <family val="2"/>
    </font>
    <font>
      <sz val="10"/>
      <color rgb="FF00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1A3A2A"/>
        <bgColor rgb="FF333300"/>
      </patternFill>
    </fill>
    <fill>
      <patternFill patternType="solid">
        <fgColor rgb="FFECFDF5"/>
        <bgColor rgb="FFF8FAFC"/>
      </patternFill>
    </fill>
    <fill>
      <patternFill patternType="solid">
        <fgColor rgb="FFFFFFFF"/>
        <bgColor rgb="FFF8FAFC"/>
      </patternFill>
    </fill>
    <fill>
      <patternFill patternType="solid">
        <fgColor rgb="FFF8FAFC"/>
        <bgColor rgb="FFFF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dashed">
        <color rgb="FFCBD5E1"/>
      </top>
      <bottom/>
      <diagonal/>
    </border>
    <border diagonalUp="false" diagonalDown="false">
      <left/>
      <right/>
      <top style="dashed">
        <color rgb="FFCBD5E1"/>
      </top>
      <bottom style="dashed">
        <color rgb="FFCBD5E1"/>
      </bottom>
      <diagonal/>
    </border>
    <border diagonalUp="false" diagonalDown="false">
      <left/>
      <right/>
      <top style="thin">
        <color rgb="FFA7F3D0"/>
      </top>
      <bottom style="thick">
        <color rgb="FF1A3A2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B8B8B"/>
      <rgbColor rgb="FF9999FF"/>
      <rgbColor rgb="FF595959"/>
      <rgbColor rgb="FFF8FAFC"/>
      <rgbColor rgb="FFECFDF5"/>
      <rgbColor rgb="FF660066"/>
      <rgbColor rgb="FFFF8080"/>
      <rgbColor rgb="FF0066CC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7F3D0"/>
      <rgbColor rgb="FFFFFF99"/>
      <rgbColor rgb="FF6EE7B7"/>
      <rgbColor rgb="FFFF99CC"/>
      <rgbColor rgb="FFCC99FF"/>
      <rgbColor rgb="FFFFCC99"/>
      <rgbColor rgb="FF3366FF"/>
      <rgbColor rgb="FF34D399"/>
      <rgbColor rgb="FF99CC00"/>
      <rgbColor rgb="FFFFCC00"/>
      <rgbColor rgb="FFF59E0B"/>
      <rgbColor rgb="FFFF6600"/>
      <rgbColor rgb="FF6B7280"/>
      <rgbColor rgb="FF969696"/>
      <rgbColor rgb="FF003366"/>
      <rgbColor rgb="FF339966"/>
      <rgbColor rgb="FF0F172A"/>
      <rgbColor rgb="FF333300"/>
      <rgbColor rgb="FF993300"/>
      <rgbColor rgb="FF993366"/>
      <rgbColor rgb="FF334155"/>
      <rgbColor rgb="FF1A3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_rels/chart2.xml.rels><?xml version="1.0" encoding="UTF-8"?>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
</Relationships>
</file>

<file path=xl/charts/_rels/chart3.xml.rels><?xml version="1.0" encoding="UTF-8"?>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4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rPr>
              <a:t>5-Year Revenue &amp; Profitability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Dashboard!$A$20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1A3A2A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Dashboard!$B$19:$F$19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Dashboard!$B$20:$F$20</c:f>
              <c:numCache>
                <c:formatCode>\$#,##0;"($"#,##0\);\-</c:formatCode>
                <c:ptCount val="5"/>
                <c:pt idx="0">
                  <c:v>1458480</c:v>
                </c:pt>
                <c:pt idx="1">
                  <c:v>2462400</c:v>
                </c:pt>
                <c:pt idx="2">
                  <c:v>2757888</c:v>
                </c:pt>
                <c:pt idx="3">
                  <c:v>2978519.04</c:v>
                </c:pt>
                <c:pt idx="4">
                  <c:v>3127444.992</c:v>
                </c:pt>
              </c:numCache>
            </c:numRef>
          </c:val>
        </c:ser>
        <c:ser>
          <c:idx val="1"/>
          <c:order val="1"/>
          <c:tx>
            <c:strRef>
              <c:f>Dashboard!$A$21</c:f>
              <c:strCache>
                <c:ptCount val="1"/>
                <c:pt idx="0">
                  <c:v>Gross Profit</c:v>
                </c:pt>
              </c:strCache>
            </c:strRef>
          </c:tx>
          <c:spPr>
            <a:solidFill>
              <a:srgbClr val="34D399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Dashboard!$B$19:$F$19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Dashboard!$B$21:$F$21</c:f>
              <c:numCache>
                <c:formatCode>\$#,##0;"($"#,##0\);\-</c:formatCode>
                <c:ptCount val="5"/>
                <c:pt idx="0">
                  <c:v>1119393.6</c:v>
                </c:pt>
                <c:pt idx="1">
                  <c:v>1890794.88</c:v>
                </c:pt>
                <c:pt idx="2">
                  <c:v>2117690.2656</c:v>
                </c:pt>
                <c:pt idx="3">
                  <c:v>2287105.486848</c:v>
                </c:pt>
                <c:pt idx="4">
                  <c:v>2401460.7611904</c:v>
                </c:pt>
              </c:numCache>
            </c:numRef>
          </c:val>
        </c:ser>
        <c:ser>
          <c:idx val="2"/>
          <c:order val="2"/>
          <c:tx>
            <c:strRef>
              <c:f>Dashboard!$A$22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rgbClr val="6EE7B7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Dashboard!$B$19:$F$19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Dashboard!$B$22:$F$22</c:f>
              <c:numCache>
                <c:formatCode>\$#,##0;"($"#,##0\);\-</c:formatCode>
                <c:ptCount val="5"/>
                <c:pt idx="0">
                  <c:v>-36406.4</c:v>
                </c:pt>
                <c:pt idx="1">
                  <c:v>705798.88</c:v>
                </c:pt>
                <c:pt idx="2">
                  <c:v>902622.3856</c:v>
                </c:pt>
                <c:pt idx="3">
                  <c:v>1041063.570448</c:v>
                </c:pt>
                <c:pt idx="4">
                  <c:v>1123515.5872984</c:v>
                </c:pt>
              </c:numCache>
            </c:numRef>
          </c:val>
        </c:ser>
        <c:ser>
          <c:idx val="3"/>
          <c:order val="3"/>
          <c:tx>
            <c:strRef>
              <c:f>Dashboard!$A$23</c:f>
              <c:strCache>
                <c:ptCount val="1"/>
                <c:pt idx="0">
                  <c:v>Net Income</c:v>
                </c:pt>
              </c:strCache>
            </c:strRef>
          </c:tx>
          <c:spPr>
            <a:solidFill>
              <a:srgbClr val="F59E0B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Dashboard!$B$19:$F$19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Dashboard!$B$23:$F$23</c:f>
              <c:numCache>
                <c:formatCode>\$#,##0;"($"#,##0\);\-</c:formatCode>
                <c:ptCount val="5"/>
                <c:pt idx="0">
                  <c:v>-102081.912121212</c:v>
                </c:pt>
                <c:pt idx="1">
                  <c:v>489036.66</c:v>
                </c:pt>
                <c:pt idx="2">
                  <c:v>636654.2892</c:v>
                </c:pt>
                <c:pt idx="3">
                  <c:v>740485.177836</c:v>
                </c:pt>
                <c:pt idx="4">
                  <c:v>802324.1904738</c:v>
                </c:pt>
              </c:numCache>
            </c:numRef>
          </c:val>
        </c:ser>
        <c:gapWidth val="219"/>
        <c:overlap val="-27"/>
        <c:axId val="14366595"/>
        <c:axId val="51030984"/>
      </c:barChart>
      <c:catAx>
        <c:axId val="1436659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51030984"/>
        <c:crosses val="autoZero"/>
        <c:auto val="1"/>
        <c:lblAlgn val="ctr"/>
        <c:lblOffset val="100"/>
        <c:noMultiLvlLbl val="0"/>
      </c:catAx>
      <c:valAx>
        <c:axId val="51030984"/>
        <c:scaling>
          <c:orientation val="minMax"/>
        </c:scaling>
        <c:delete val="0"/>
        <c:axPos val="l"/>
        <c:majorGridlines>
          <c:spPr>
            <a:ln w="9360">
              <a:solidFill>
                <a:schemeClr val="dk1">
                  <a:lumMod val="15000"/>
                  <a:lumOff val="85000"/>
                </a:schemeClr>
              </a:solidFill>
              <a:round/>
            </a:ln>
          </c:spPr>
        </c:majorGridlines>
        <c:numFmt formatCode="\$#,##0;&quot;($&quot;#,##0\);\-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14366595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 Narrow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4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rPr>
              <a:t>Margin Evolution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Dashboard!$A$27</c:f>
              <c:strCache>
                <c:ptCount val="1"/>
                <c:pt idx="0">
                  <c:v>Gross Margin %</c:v>
                </c:pt>
              </c:strCache>
            </c:strRef>
          </c:tx>
          <c:spPr>
            <a:solidFill>
              <a:srgbClr val="1A3A2A"/>
            </a:solidFill>
            <a:ln cap="rnd" w="28440">
              <a:solidFill>
                <a:srgbClr val="1A3A2A"/>
              </a:solidFill>
              <a:round/>
            </a:ln>
          </c:spPr>
          <c:marker>
            <c:symbol val="circle"/>
            <c:size val="5"/>
            <c:spPr>
              <a:solidFill>
                <a:srgbClr val="1A3A2A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Dashboard!$B$26:$F$26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Dashboard!$B$27:$F$27</c:f>
              <c:numCache>
                <c:formatCode>0.0%</c:formatCode>
                <c:ptCount val="5"/>
                <c:pt idx="0">
                  <c:v>0.76750699358236</c:v>
                </c:pt>
                <c:pt idx="1">
                  <c:v>0.767866666666667</c:v>
                </c:pt>
                <c:pt idx="2">
                  <c:v>0.767866666666667</c:v>
                </c:pt>
                <c:pt idx="3">
                  <c:v>0.767866666666667</c:v>
                </c:pt>
                <c:pt idx="4">
                  <c:v>0.767866666666667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Dashboard!$A$28</c:f>
              <c:strCache>
                <c:ptCount val="1"/>
                <c:pt idx="0">
                  <c:v>EBITDA Margin %</c:v>
                </c:pt>
              </c:strCache>
            </c:strRef>
          </c:tx>
          <c:spPr>
            <a:solidFill>
              <a:srgbClr val="34D399"/>
            </a:solidFill>
            <a:ln cap="rnd" w="28440">
              <a:solidFill>
                <a:srgbClr val="34D399"/>
              </a:solidFill>
              <a:round/>
            </a:ln>
          </c:spPr>
          <c:marker>
            <c:symbol val="circle"/>
            <c:size val="5"/>
            <c:spPr>
              <a:solidFill>
                <a:srgbClr val="34D399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Dashboard!$B$26:$F$26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Dashboard!$B$28:$F$28</c:f>
              <c:numCache>
                <c:formatCode>0.0%</c:formatCode>
                <c:ptCount val="5"/>
                <c:pt idx="0">
                  <c:v>-0.0249618781196862</c:v>
                </c:pt>
                <c:pt idx="1">
                  <c:v>0.286630474333983</c:v>
                </c:pt>
                <c:pt idx="2">
                  <c:v>0.327287542351249</c:v>
                </c:pt>
                <c:pt idx="3">
                  <c:v>0.34952389307137</c:v>
                </c:pt>
                <c:pt idx="4">
                  <c:v>0.359243916414949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Dashboard!$A$29</c:f>
              <c:strCache>
                <c:ptCount val="1"/>
                <c:pt idx="0">
                  <c:v>Net Margin %</c:v>
                </c:pt>
              </c:strCache>
            </c:strRef>
          </c:tx>
          <c:spPr>
            <a:solidFill>
              <a:srgbClr val="F59E0B"/>
            </a:solidFill>
            <a:ln cap="rnd" w="28440">
              <a:solidFill>
                <a:srgbClr val="F59E0B"/>
              </a:solidFill>
              <a:round/>
            </a:ln>
          </c:spPr>
          <c:marker>
            <c:symbol val="circle"/>
            <c:size val="5"/>
            <c:spPr>
              <a:solidFill>
                <a:srgbClr val="F59E0B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844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Dashboard!$B$26:$F$26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Dashboard!$B$29:$F$29</c:f>
              <c:numCache>
                <c:formatCode>0.0%</c:formatCode>
                <c:ptCount val="5"/>
                <c:pt idx="0">
                  <c:v>-0.0699919862604987</c:v>
                </c:pt>
                <c:pt idx="1">
                  <c:v>0.198601632553606</c:v>
                </c:pt>
                <c:pt idx="2">
                  <c:v>0.230848493194793</c:v>
                </c:pt>
                <c:pt idx="3">
                  <c:v>0.24860850909182</c:v>
                </c:pt>
                <c:pt idx="4">
                  <c:v>0.256543022347681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540986"/>
        <c:axId val="87251351"/>
      </c:lineChart>
      <c:catAx>
        <c:axId val="6054098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87251351"/>
        <c:crosses val="autoZero"/>
        <c:auto val="1"/>
        <c:lblAlgn val="ctr"/>
        <c:lblOffset val="100"/>
        <c:noMultiLvlLbl val="0"/>
      </c:catAx>
      <c:valAx>
        <c:axId val="87251351"/>
        <c:scaling>
          <c:orientation val="minMax"/>
        </c:scaling>
        <c:delete val="0"/>
        <c:axPos val="l"/>
        <c:majorGridlines>
          <c:spPr>
            <a:ln w="9360">
              <a:solidFill>
                <a:schemeClr val="dk1">
                  <a:lumMod val="15000"/>
                  <a:lumOff val="85000"/>
                </a:schemeClr>
              </a:solidFill>
              <a:round/>
            </a:ln>
          </c:spPr>
        </c:majorGridlines>
        <c:numFmt formatCode="0.0%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60540986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 Narrow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4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rPr>
              <a:t>Cash Position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areaChart>
        <c:grouping val="standard"/>
        <c:ser>
          <c:idx val="0"/>
          <c:order val="0"/>
          <c:tx>
            <c:strRef>
              <c:f>Dashboard!$A$33</c:f>
              <c:strCache>
                <c:ptCount val="1"/>
                <c:pt idx="0">
                  <c:v>Cash Balance</c:v>
                </c:pt>
              </c:strCache>
            </c:strRef>
          </c:tx>
          <c:spPr>
            <a:solidFill>
              <a:srgbClr val="34D399"/>
            </a:solidFill>
            <a:ln w="12600">
              <a:solidFill>
                <a:srgbClr val="1A3A2A"/>
              </a:solidFill>
              <a:round/>
            </a:ln>
          </c:spP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1A3A2A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Dashboard!$B$32:$F$32</c:f>
              <c:strCache>
                <c:ptCount val="5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</c:strCache>
            </c:strRef>
          </c:cat>
          <c:val>
            <c:numRef>
              <c:f>Dashboard!$B$33:$F$33</c:f>
              <c:numCache>
                <c:formatCode>\$#,##0;"($"#,##0\);\-</c:formatCode>
                <c:ptCount val="5"/>
                <c:pt idx="0">
                  <c:v>-51564.4778354978</c:v>
                </c:pt>
                <c:pt idx="1">
                  <c:v>364228.82631157</c:v>
                </c:pt>
                <c:pt idx="2">
                  <c:v>980225.192480024</c:v>
                </c:pt>
                <c:pt idx="3">
                  <c:v>1706155.29148704</c:v>
                </c:pt>
                <c:pt idx="4">
                  <c:v>2499778.30536397</c:v>
                </c:pt>
              </c:numCache>
            </c:numRef>
          </c:val>
        </c:ser>
        <c:axId val="55649622"/>
        <c:axId val="52983052"/>
      </c:areaChart>
      <c:catAx>
        <c:axId val="5564962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ptos Narrow"/>
              </a:defRPr>
            </a:pPr>
          </a:p>
        </c:txPr>
        <c:crossAx val="52983052"/>
        <c:crosses val="autoZero"/>
        <c:auto val="1"/>
        <c:lblAlgn val="ctr"/>
        <c:lblOffset val="100"/>
        <c:noMultiLvlLbl val="0"/>
      </c:catAx>
      <c:valAx>
        <c:axId val="52983052"/>
        <c:scaling>
          <c:orientation val="minMax"/>
        </c:scaling>
        <c:delete val="0"/>
        <c:axPos val="l"/>
        <c:majorGridlines>
          <c:spPr>
            <a:ln w="12600">
              <a:solidFill>
                <a:srgbClr val="8B8B8B"/>
              </a:solidFill>
              <a:round/>
            </a:ln>
          </c:spPr>
        </c:majorGridlines>
        <c:numFmt formatCode="\$#,##0;&quot;($&quot;#,##0\);\-" sourceLinked="1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ptos Narrow"/>
              </a:defRPr>
            </a:pPr>
          </a:p>
        </c:txPr>
        <c:crossAx val="55649622"/>
        <c:crosses val="autoZero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 Narrow"/>
            </a:defRPr>
          </a:pPr>
        </a:p>
      </c:txPr>
    </c:legend>
    <c:plotVisOnly val="1"/>
    <c:dispBlanksAs val="zero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27720</xdr:colOff>
      <xdr:row>1</xdr:row>
      <xdr:rowOff>34200</xdr:rowOff>
    </xdr:from>
    <xdr:to>
      <xdr:col>12</xdr:col>
      <xdr:colOff>470880</xdr:colOff>
      <xdr:row>15</xdr:row>
      <xdr:rowOff>56880</xdr:rowOff>
    </xdr:to>
    <xdr:graphicFrame>
      <xdr:nvGraphicFramePr>
        <xdr:cNvPr id="1" name="Chart 1"/>
        <xdr:cNvGraphicFramePr/>
      </xdr:nvGraphicFramePr>
      <xdr:xfrm>
        <a:off x="10582560" y="415080"/>
        <a:ext cx="4192920" cy="2728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27720</xdr:colOff>
      <xdr:row>17</xdr:row>
      <xdr:rowOff>171720</xdr:rowOff>
    </xdr:from>
    <xdr:to>
      <xdr:col>12</xdr:col>
      <xdr:colOff>470880</xdr:colOff>
      <xdr:row>32</xdr:row>
      <xdr:rowOff>57240</xdr:rowOff>
    </xdr:to>
    <xdr:graphicFrame>
      <xdr:nvGraphicFramePr>
        <xdr:cNvPr id="2" name="Chart 2"/>
        <xdr:cNvGraphicFramePr/>
      </xdr:nvGraphicFramePr>
      <xdr:xfrm>
        <a:off x="10582560" y="3638880"/>
        <a:ext cx="419292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27720</xdr:colOff>
      <xdr:row>34</xdr:row>
      <xdr:rowOff>171720</xdr:rowOff>
    </xdr:from>
    <xdr:to>
      <xdr:col>12</xdr:col>
      <xdr:colOff>470880</xdr:colOff>
      <xdr:row>49</xdr:row>
      <xdr:rowOff>57240</xdr:rowOff>
    </xdr:to>
    <xdr:graphicFrame>
      <xdr:nvGraphicFramePr>
        <xdr:cNvPr id="3" name="Chart 3"/>
        <xdr:cNvGraphicFramePr/>
      </xdr:nvGraphicFramePr>
      <xdr:xfrm>
        <a:off x="10582560" y="6877440"/>
        <a:ext cx="419292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6B7280"/>
    <pageSetUpPr fitToPage="false"/>
  </sheetPr>
  <dimension ref="A1:D77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pane xSplit="1" ySplit="1" topLeftCell="B3" activePane="bottomRight" state="frozen"/>
      <selection pane="topLeft" activeCell="A2" activeCellId="0" sqref="A2"/>
      <selection pane="topRight" activeCell="B2" activeCellId="0" sqref="B2"/>
      <selection pane="bottomLeft" activeCell="A3" activeCellId="0" sqref="A3"/>
      <selection pane="bottomRight" activeCell="A1" activeCellId="0" sqref="A1"/>
    </sheetView>
  </sheetViews>
  <sheetFormatPr defaultColWidth="10.8359375" defaultRowHeight="15" customHeight="false" zeroHeight="false" outlineLevelRow="0" outlineLevelCol="0"/>
  <cols>
    <col collapsed="false" customWidth="true" hidden="false" outlineLevel="0" max="1" min="1" style="1" width="41.66"/>
    <col collapsed="false" customWidth="true" hidden="false" outlineLevel="0" max="4" min="2" style="1" width="20"/>
    <col collapsed="false" customWidth="false" hidden="false" outlineLevel="0" max="16384" min="5" style="1" width="10.83"/>
  </cols>
  <sheetData>
    <row r="1" customFormat="false" ht="30" hidden="false" customHeight="true" outlineLevel="0" collapsed="false">
      <c r="A1" s="2" t="s">
        <v>0</v>
      </c>
      <c r="B1" s="2"/>
      <c r="C1" s="2"/>
      <c r="D1" s="2"/>
    </row>
    <row r="3" customFormat="false" ht="24" hidden="false" customHeight="true" outlineLevel="0" collapsed="false">
      <c r="A3" s="3" t="s">
        <v>1</v>
      </c>
      <c r="B3" s="3"/>
      <c r="C3" s="3"/>
    </row>
    <row r="5" customFormat="false" ht="15" hidden="false" customHeight="false" outlineLevel="0" collapsed="false">
      <c r="A5" s="4" t="s">
        <v>2</v>
      </c>
    </row>
    <row r="6" customFormat="false" ht="15" hidden="false" customHeight="false" outlineLevel="0" collapsed="false">
      <c r="A6" s="5" t="s">
        <v>3</v>
      </c>
      <c r="B6" s="6" t="n">
        <v>60</v>
      </c>
    </row>
    <row r="7" customFormat="false" ht="15" hidden="false" customHeight="false" outlineLevel="0" collapsed="false">
      <c r="A7" s="5" t="s">
        <v>4</v>
      </c>
      <c r="B7" s="7" t="n">
        <v>2.5</v>
      </c>
    </row>
    <row r="8" customFormat="false" ht="15" hidden="false" customHeight="false" outlineLevel="0" collapsed="false">
      <c r="A8" s="5" t="s">
        <v>5</v>
      </c>
      <c r="B8" s="8" t="n">
        <v>28</v>
      </c>
    </row>
    <row r="9" customFormat="false" ht="15" hidden="false" customHeight="false" outlineLevel="0" collapsed="false">
      <c r="A9" s="5" t="s">
        <v>6</v>
      </c>
      <c r="B9" s="8" t="n">
        <v>12</v>
      </c>
    </row>
    <row r="10" customFormat="false" ht="15" hidden="false" customHeight="false" outlineLevel="0" collapsed="false">
      <c r="A10" s="5" t="s">
        <v>7</v>
      </c>
      <c r="B10" s="9" t="n">
        <v>26</v>
      </c>
    </row>
    <row r="11" customFormat="false" ht="15" hidden="false" customHeight="false" outlineLevel="0" collapsed="false">
      <c r="A11" s="5" t="s">
        <v>8</v>
      </c>
      <c r="B11" s="10" t="n">
        <v>0.45</v>
      </c>
    </row>
    <row r="12" customFormat="false" ht="15" hidden="false" customHeight="false" outlineLevel="0" collapsed="false">
      <c r="A12" s="5" t="s">
        <v>9</v>
      </c>
      <c r="B12" s="10" t="n">
        <v>0.7</v>
      </c>
    </row>
    <row r="13" customFormat="false" ht="15" hidden="false" customHeight="false" outlineLevel="0" collapsed="false">
      <c r="A13" s="5" t="s">
        <v>10</v>
      </c>
      <c r="B13" s="11" t="n">
        <v>0.8</v>
      </c>
    </row>
    <row r="15" customFormat="false" ht="15" hidden="false" customHeight="false" outlineLevel="0" collapsed="false">
      <c r="A15" s="4" t="s">
        <v>11</v>
      </c>
    </row>
    <row r="16" customFormat="false" ht="15" hidden="false" customHeight="false" outlineLevel="0" collapsed="false">
      <c r="A16" s="5" t="s">
        <v>12</v>
      </c>
      <c r="B16" s="6" t="n">
        <v>20</v>
      </c>
    </row>
    <row r="17" customFormat="false" ht="15" hidden="false" customHeight="false" outlineLevel="0" collapsed="false">
      <c r="A17" s="5" t="s">
        <v>13</v>
      </c>
      <c r="B17" s="9" t="n">
        <v>50</v>
      </c>
    </row>
    <row r="18" customFormat="false" ht="15" hidden="false" customHeight="false" outlineLevel="0" collapsed="false">
      <c r="A18" s="5" t="s">
        <v>14</v>
      </c>
      <c r="B18" s="8" t="n">
        <v>32</v>
      </c>
    </row>
    <row r="19" customFormat="false" ht="15" hidden="false" customHeight="false" outlineLevel="0" collapsed="false">
      <c r="A19" s="5" t="s">
        <v>15</v>
      </c>
      <c r="B19" s="11" t="n">
        <v>0.25</v>
      </c>
    </row>
    <row r="21" customFormat="false" ht="15" hidden="false" customHeight="false" outlineLevel="0" collapsed="false">
      <c r="A21" s="4" t="s">
        <v>16</v>
      </c>
    </row>
    <row r="22" customFormat="false" ht="15" hidden="false" customHeight="false" outlineLevel="0" collapsed="false">
      <c r="A22" s="5" t="s">
        <v>17</v>
      </c>
      <c r="B22" s="6" t="n">
        <v>2</v>
      </c>
    </row>
    <row r="23" customFormat="false" ht="15" hidden="false" customHeight="false" outlineLevel="0" collapsed="false">
      <c r="A23" s="5" t="s">
        <v>18</v>
      </c>
      <c r="B23" s="9" t="n">
        <v>6</v>
      </c>
    </row>
    <row r="24" customFormat="false" ht="15" hidden="false" customHeight="false" outlineLevel="0" collapsed="false">
      <c r="A24" s="5" t="s">
        <v>19</v>
      </c>
      <c r="B24" s="12" t="n">
        <v>2500</v>
      </c>
    </row>
    <row r="26" customFormat="false" ht="15" hidden="false" customHeight="false" outlineLevel="0" collapsed="false">
      <c r="A26" s="4" t="s">
        <v>20</v>
      </c>
    </row>
    <row r="27" customFormat="false" ht="15" hidden="false" customHeight="false" outlineLevel="0" collapsed="false">
      <c r="A27" s="5" t="s">
        <v>21</v>
      </c>
      <c r="B27" s="13" t="n">
        <v>0.2</v>
      </c>
    </row>
    <row r="28" customFormat="false" ht="15" hidden="false" customHeight="false" outlineLevel="0" collapsed="false">
      <c r="A28" s="5" t="s">
        <v>22</v>
      </c>
      <c r="B28" s="10" t="n">
        <v>0.12</v>
      </c>
    </row>
    <row r="29" customFormat="false" ht="15" hidden="false" customHeight="false" outlineLevel="0" collapsed="false">
      <c r="A29" s="5" t="s">
        <v>23</v>
      </c>
      <c r="B29" s="10" t="n">
        <v>0.08</v>
      </c>
    </row>
    <row r="30" customFormat="false" ht="15" hidden="false" customHeight="false" outlineLevel="0" collapsed="false">
      <c r="A30" s="5" t="s">
        <v>24</v>
      </c>
      <c r="B30" s="11" t="n">
        <v>0.05</v>
      </c>
    </row>
    <row r="32" customFormat="false" ht="24" hidden="false" customHeight="true" outlineLevel="0" collapsed="false">
      <c r="A32" s="3" t="s">
        <v>25</v>
      </c>
      <c r="B32" s="3"/>
      <c r="C32" s="3"/>
    </row>
    <row r="33" customFormat="false" ht="15" hidden="false" customHeight="false" outlineLevel="0" collapsed="false">
      <c r="A33" s="5" t="s">
        <v>26</v>
      </c>
      <c r="B33" s="13" t="n">
        <v>0.3</v>
      </c>
    </row>
    <row r="34" customFormat="false" ht="15" hidden="false" customHeight="false" outlineLevel="0" collapsed="false">
      <c r="A34" s="5" t="s">
        <v>27</v>
      </c>
      <c r="B34" s="10" t="n">
        <v>0.22</v>
      </c>
    </row>
    <row r="35" customFormat="false" ht="15" hidden="false" customHeight="false" outlineLevel="0" collapsed="false">
      <c r="A35" s="5" t="s">
        <v>28</v>
      </c>
      <c r="B35" s="11" t="n">
        <v>0.35</v>
      </c>
    </row>
    <row r="37" customFormat="false" ht="24" hidden="false" customHeight="true" outlineLevel="0" collapsed="false">
      <c r="A37" s="3" t="s">
        <v>29</v>
      </c>
      <c r="B37" s="3"/>
      <c r="C37" s="3"/>
    </row>
    <row r="38" customFormat="false" ht="15" hidden="false" customHeight="false" outlineLevel="0" collapsed="false">
      <c r="B38" s="4" t="s">
        <v>30</v>
      </c>
      <c r="C38" s="4" t="s">
        <v>31</v>
      </c>
    </row>
    <row r="39" customFormat="false" ht="15" hidden="false" customHeight="false" outlineLevel="0" collapsed="false">
      <c r="A39" s="5" t="s">
        <v>32</v>
      </c>
      <c r="B39" s="6" t="n">
        <v>1</v>
      </c>
      <c r="C39" s="14" t="n">
        <v>65000</v>
      </c>
    </row>
    <row r="40" customFormat="false" ht="15" hidden="false" customHeight="false" outlineLevel="0" collapsed="false">
      <c r="A40" s="5" t="s">
        <v>33</v>
      </c>
      <c r="B40" s="9" t="n">
        <v>1</v>
      </c>
      <c r="C40" s="15" t="n">
        <v>60000</v>
      </c>
    </row>
    <row r="41" customFormat="false" ht="15" hidden="false" customHeight="false" outlineLevel="0" collapsed="false">
      <c r="A41" s="5" t="s">
        <v>34</v>
      </c>
      <c r="B41" s="9" t="n">
        <v>4</v>
      </c>
      <c r="C41" s="15" t="n">
        <v>38000</v>
      </c>
    </row>
    <row r="42" customFormat="false" ht="15" hidden="false" customHeight="false" outlineLevel="0" collapsed="false">
      <c r="A42" s="5" t="s">
        <v>35</v>
      </c>
      <c r="B42" s="9" t="n">
        <v>6</v>
      </c>
      <c r="C42" s="15" t="n">
        <v>30000</v>
      </c>
    </row>
    <row r="43" customFormat="false" ht="15" hidden="false" customHeight="false" outlineLevel="0" collapsed="false">
      <c r="A43" s="5" t="s">
        <v>36</v>
      </c>
      <c r="B43" s="9" t="n">
        <v>2</v>
      </c>
      <c r="C43" s="15" t="n">
        <v>35000</v>
      </c>
    </row>
    <row r="44" customFormat="false" ht="15" hidden="false" customHeight="false" outlineLevel="0" collapsed="false">
      <c r="A44" s="5" t="s">
        <v>37</v>
      </c>
      <c r="B44" s="9" t="n">
        <v>2</v>
      </c>
      <c r="C44" s="15" t="n">
        <v>28000</v>
      </c>
    </row>
    <row r="45" customFormat="false" ht="15" hidden="false" customHeight="false" outlineLevel="0" collapsed="false">
      <c r="A45" s="5" t="s">
        <v>38</v>
      </c>
      <c r="B45" s="9" t="n">
        <v>2</v>
      </c>
      <c r="C45" s="15" t="n">
        <v>26000</v>
      </c>
    </row>
    <row r="46" customFormat="false" ht="15" hidden="false" customHeight="false" outlineLevel="0" collapsed="false">
      <c r="A46" s="5" t="s">
        <v>39</v>
      </c>
      <c r="B46" s="16" t="n">
        <v>2</v>
      </c>
      <c r="C46" s="12" t="n">
        <v>28000</v>
      </c>
    </row>
    <row r="48" customFormat="false" ht="15" hidden="false" customHeight="false" outlineLevel="0" collapsed="false">
      <c r="A48" s="5" t="s">
        <v>40</v>
      </c>
      <c r="B48" s="13" t="n">
        <v>0.2</v>
      </c>
    </row>
    <row r="49" customFormat="false" ht="15" hidden="false" customHeight="false" outlineLevel="0" collapsed="false">
      <c r="A49" s="5" t="s">
        <v>41</v>
      </c>
      <c r="B49" s="11" t="n">
        <v>0.03</v>
      </c>
    </row>
    <row r="51" customFormat="false" ht="24" hidden="false" customHeight="true" outlineLevel="0" collapsed="false">
      <c r="A51" s="3" t="s">
        <v>42</v>
      </c>
      <c r="B51" s="3"/>
      <c r="C51" s="3"/>
    </row>
    <row r="52" customFormat="false" ht="15" hidden="false" customHeight="false" outlineLevel="0" collapsed="false">
      <c r="A52" s="5" t="s">
        <v>43</v>
      </c>
      <c r="B52" s="14" t="n">
        <v>12000</v>
      </c>
    </row>
    <row r="53" customFormat="false" ht="15" hidden="false" customHeight="false" outlineLevel="0" collapsed="false">
      <c r="A53" s="5" t="s">
        <v>44</v>
      </c>
      <c r="B53" s="10" t="n">
        <v>0.03</v>
      </c>
    </row>
    <row r="54" customFormat="false" ht="15" hidden="false" customHeight="false" outlineLevel="0" collapsed="false">
      <c r="A54" s="5" t="s">
        <v>45</v>
      </c>
      <c r="B54" s="15" t="n">
        <v>3500</v>
      </c>
    </row>
    <row r="55" customFormat="false" ht="15" hidden="false" customHeight="false" outlineLevel="0" collapsed="false">
      <c r="A55" s="5" t="s">
        <v>46</v>
      </c>
      <c r="B55" s="15" t="n">
        <v>1500</v>
      </c>
    </row>
    <row r="56" customFormat="false" ht="15" hidden="false" customHeight="false" outlineLevel="0" collapsed="false">
      <c r="A56" s="5" t="s">
        <v>47</v>
      </c>
      <c r="B56" s="15" t="n">
        <v>3000</v>
      </c>
    </row>
    <row r="57" customFormat="false" ht="15" hidden="false" customHeight="false" outlineLevel="0" collapsed="false">
      <c r="A57" s="5" t="s">
        <v>48</v>
      </c>
      <c r="B57" s="15" t="n">
        <v>1500</v>
      </c>
    </row>
    <row r="58" customFormat="false" ht="15" hidden="false" customHeight="false" outlineLevel="0" collapsed="false">
      <c r="A58" s="5" t="s">
        <v>49</v>
      </c>
      <c r="B58" s="15" t="n">
        <v>2000</v>
      </c>
    </row>
    <row r="59" customFormat="false" ht="15" hidden="false" customHeight="false" outlineLevel="0" collapsed="false">
      <c r="A59" s="5" t="s">
        <v>50</v>
      </c>
      <c r="B59" s="15" t="n">
        <v>800</v>
      </c>
    </row>
    <row r="60" customFormat="false" ht="15" hidden="false" customHeight="false" outlineLevel="0" collapsed="false">
      <c r="A60" s="5" t="s">
        <v>51</v>
      </c>
      <c r="B60" s="15" t="n">
        <v>5000</v>
      </c>
    </row>
    <row r="61" customFormat="false" ht="15" hidden="false" customHeight="false" outlineLevel="0" collapsed="false">
      <c r="A61" s="5" t="s">
        <v>52</v>
      </c>
      <c r="B61" s="15" t="n">
        <v>1000</v>
      </c>
    </row>
    <row r="62" customFormat="false" ht="15" hidden="false" customHeight="false" outlineLevel="0" collapsed="false">
      <c r="A62" s="5" t="s">
        <v>53</v>
      </c>
      <c r="B62" s="12" t="n">
        <v>1500</v>
      </c>
    </row>
    <row r="64" customFormat="false" ht="24" hidden="false" customHeight="true" outlineLevel="0" collapsed="false">
      <c r="A64" s="3" t="s">
        <v>54</v>
      </c>
      <c r="B64" s="3"/>
      <c r="C64" s="3"/>
    </row>
    <row r="65" customFormat="false" ht="15" hidden="false" customHeight="false" outlineLevel="0" collapsed="false">
      <c r="A65" s="5" t="s">
        <v>55</v>
      </c>
      <c r="B65" s="14" t="n">
        <v>350000</v>
      </c>
    </row>
    <row r="66" customFormat="false" ht="15" hidden="false" customHeight="false" outlineLevel="0" collapsed="false">
      <c r="A66" s="5" t="s">
        <v>56</v>
      </c>
      <c r="B66" s="15" t="n">
        <v>250000</v>
      </c>
    </row>
    <row r="67" customFormat="false" ht="15" hidden="false" customHeight="false" outlineLevel="0" collapsed="false">
      <c r="A67" s="5" t="s">
        <v>57</v>
      </c>
      <c r="B67" s="15" t="n">
        <v>100000</v>
      </c>
    </row>
    <row r="68" customFormat="false" ht="15" hidden="false" customHeight="false" outlineLevel="0" collapsed="false">
      <c r="A68" s="5" t="s">
        <v>58</v>
      </c>
      <c r="B68" s="10" t="n">
        <v>0.075</v>
      </c>
    </row>
    <row r="69" customFormat="false" ht="15" hidden="false" customHeight="false" outlineLevel="0" collapsed="false">
      <c r="A69" s="5" t="s">
        <v>59</v>
      </c>
      <c r="B69" s="9" t="n">
        <v>7</v>
      </c>
    </row>
    <row r="70" customFormat="false" ht="15" hidden="false" customHeight="false" outlineLevel="0" collapsed="false">
      <c r="A70" s="5" t="s">
        <v>60</v>
      </c>
      <c r="B70" s="12" t="n">
        <v>35000</v>
      </c>
    </row>
    <row r="72" customFormat="false" ht="24" hidden="false" customHeight="true" outlineLevel="0" collapsed="false">
      <c r="A72" s="3" t="s">
        <v>61</v>
      </c>
      <c r="B72" s="3"/>
      <c r="C72" s="3"/>
    </row>
    <row r="73" customFormat="false" ht="15" hidden="false" customHeight="false" outlineLevel="0" collapsed="false">
      <c r="A73" s="5" t="s">
        <v>62</v>
      </c>
      <c r="B73" s="13" t="n">
        <v>0.25</v>
      </c>
    </row>
    <row r="74" customFormat="false" ht="15" hidden="false" customHeight="false" outlineLevel="0" collapsed="false">
      <c r="A74" s="5" t="s">
        <v>63</v>
      </c>
      <c r="B74" s="9" t="n">
        <v>5</v>
      </c>
    </row>
    <row r="75" customFormat="false" ht="15" hidden="false" customHeight="false" outlineLevel="0" collapsed="false">
      <c r="A75" s="5" t="s">
        <v>64</v>
      </c>
      <c r="B75" s="9" t="n">
        <v>30</v>
      </c>
    </row>
    <row r="76" customFormat="false" ht="15" hidden="false" customHeight="false" outlineLevel="0" collapsed="false">
      <c r="A76" s="5" t="s">
        <v>65</v>
      </c>
      <c r="B76" s="9" t="n">
        <v>7</v>
      </c>
    </row>
    <row r="77" customFormat="false" ht="15" hidden="false" customHeight="false" outlineLevel="0" collapsed="false">
      <c r="A77" s="5" t="s">
        <v>66</v>
      </c>
      <c r="B77" s="12" t="n">
        <v>50000</v>
      </c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Q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359375" defaultRowHeight="15" customHeight="false" zeroHeight="false" outlineLevelRow="0" outlineLevelCol="0"/>
  <cols>
    <col collapsed="false" customWidth="true" hidden="false" outlineLevel="0" max="1" min="1" style="1" width="41.66"/>
    <col collapsed="false" customWidth="true" hidden="false" outlineLevel="0" max="17" min="2" style="1" width="18.33"/>
    <col collapsed="false" customWidth="false" hidden="false" outlineLevel="0" max="16384" min="18" style="1" width="10.83"/>
  </cols>
  <sheetData>
    <row r="1" customFormat="false" ht="30" hidden="false" customHeight="true" outlineLevel="0" collapsed="false">
      <c r="A1" s="17" t="s">
        <v>67</v>
      </c>
      <c r="B1" s="17" t="s">
        <v>68</v>
      </c>
      <c r="C1" s="17" t="s">
        <v>69</v>
      </c>
      <c r="D1" s="17" t="s">
        <v>70</v>
      </c>
      <c r="E1" s="17" t="s">
        <v>71</v>
      </c>
      <c r="F1" s="17" t="s">
        <v>72</v>
      </c>
      <c r="G1" s="17" t="s">
        <v>73</v>
      </c>
      <c r="H1" s="17" t="s">
        <v>74</v>
      </c>
      <c r="I1" s="17" t="s">
        <v>75</v>
      </c>
      <c r="J1" s="17" t="s">
        <v>76</v>
      </c>
      <c r="K1" s="17" t="s">
        <v>77</v>
      </c>
      <c r="L1" s="17" t="s">
        <v>78</v>
      </c>
      <c r="M1" s="17" t="s">
        <v>79</v>
      </c>
      <c r="N1" s="17" t="s">
        <v>80</v>
      </c>
      <c r="O1" s="17" t="s">
        <v>81</v>
      </c>
      <c r="P1" s="17" t="s">
        <v>82</v>
      </c>
      <c r="Q1" s="17" t="s">
        <v>83</v>
      </c>
    </row>
    <row r="3" customFormat="false" ht="15" hidden="false" customHeight="false" outlineLevel="0" collapsed="false">
      <c r="A3" s="3" t="s">
        <v>84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Format="false" ht="15" hidden="false" customHeight="false" outlineLevel="0" collapsed="false">
      <c r="A4" s="18" t="s">
        <v>85</v>
      </c>
      <c r="B4" s="19" t="n">
        <f aca="false">Assumptions!B11+(Assumptions!B12-Assumptions!B11)*0/11</f>
        <v>0.45</v>
      </c>
      <c r="C4" s="19" t="n">
        <f aca="false">Assumptions!B11+(Assumptions!B12-Assumptions!B11)*1/11</f>
        <v>0.472727272727273</v>
      </c>
      <c r="D4" s="19" t="n">
        <f aca="false">Assumptions!B11+(Assumptions!B12-Assumptions!B11)*2/11</f>
        <v>0.495454545454546</v>
      </c>
      <c r="E4" s="19" t="n">
        <f aca="false">Assumptions!B11+(Assumptions!B12-Assumptions!B11)*3/11</f>
        <v>0.518181818181818</v>
      </c>
      <c r="F4" s="19" t="n">
        <f aca="false">Assumptions!B11+(Assumptions!B12-Assumptions!B11)*4/11</f>
        <v>0.540909090909091</v>
      </c>
      <c r="G4" s="19" t="n">
        <f aca="false">Assumptions!B11+(Assumptions!B12-Assumptions!B11)*5/11</f>
        <v>0.563636363636364</v>
      </c>
      <c r="H4" s="19" t="n">
        <f aca="false">Assumptions!B11+(Assumptions!B12-Assumptions!B11)*6/11</f>
        <v>0.586363636363636</v>
      </c>
      <c r="I4" s="19" t="n">
        <f aca="false">Assumptions!B11+(Assumptions!B12-Assumptions!B11)*7/11</f>
        <v>0.609090909090909</v>
      </c>
      <c r="J4" s="19" t="n">
        <f aca="false">Assumptions!B11+(Assumptions!B12-Assumptions!B11)*8/11</f>
        <v>0.631818181818182</v>
      </c>
      <c r="K4" s="19" t="n">
        <f aca="false">Assumptions!B11+(Assumptions!B12-Assumptions!B11)*9/11</f>
        <v>0.654545454545455</v>
      </c>
      <c r="L4" s="19" t="n">
        <f aca="false">Assumptions!B11+(Assumptions!B12-Assumptions!B11)*10/11</f>
        <v>0.677272727272727</v>
      </c>
      <c r="M4" s="19" t="n">
        <f aca="false">Assumptions!B11+(Assumptions!B12-Assumptions!B11)*11/11</f>
        <v>0.7</v>
      </c>
      <c r="N4" s="19" t="n">
        <f aca="false">Assumptions!B13</f>
        <v>0.8</v>
      </c>
      <c r="O4" s="19" t="n">
        <f aca="false">Assumptions!B13</f>
        <v>0.8</v>
      </c>
      <c r="P4" s="19" t="n">
        <f aca="false">Assumptions!B13</f>
        <v>0.8</v>
      </c>
      <c r="Q4" s="19" t="n">
        <f aca="false">Assumptions!B13</f>
        <v>0.8</v>
      </c>
    </row>
    <row r="5" customFormat="false" ht="15" hidden="false" customHeight="false" outlineLevel="0" collapsed="false">
      <c r="A5" s="18" t="s">
        <v>86</v>
      </c>
      <c r="B5" s="20" t="n">
        <f aca="false">Assumptions!B16+(Assumptions!B17-Assumptions!B16)*0/11</f>
        <v>20</v>
      </c>
      <c r="C5" s="20" t="n">
        <f aca="false">Assumptions!B16+(Assumptions!B17-Assumptions!B16)*1/11</f>
        <v>22.7272727272727</v>
      </c>
      <c r="D5" s="20" t="n">
        <f aca="false">Assumptions!B16+(Assumptions!B17-Assumptions!B16)*2/11</f>
        <v>25.4545454545455</v>
      </c>
      <c r="E5" s="20" t="n">
        <f aca="false">Assumptions!B16+(Assumptions!B17-Assumptions!B16)*3/11</f>
        <v>28.1818181818182</v>
      </c>
      <c r="F5" s="20" t="n">
        <f aca="false">Assumptions!B16+(Assumptions!B17-Assumptions!B16)*4/11</f>
        <v>30.9090909090909</v>
      </c>
      <c r="G5" s="20" t="n">
        <f aca="false">Assumptions!B16+(Assumptions!B17-Assumptions!B16)*5/11</f>
        <v>33.6363636363636</v>
      </c>
      <c r="H5" s="20" t="n">
        <f aca="false">Assumptions!B16+(Assumptions!B17-Assumptions!B16)*6/11</f>
        <v>36.3636363636364</v>
      </c>
      <c r="I5" s="20" t="n">
        <f aca="false">Assumptions!B16+(Assumptions!B17-Assumptions!B16)*7/11</f>
        <v>39.0909090909091</v>
      </c>
      <c r="J5" s="20" t="n">
        <f aca="false">Assumptions!B16+(Assumptions!B17-Assumptions!B16)*8/11</f>
        <v>41.8181818181818</v>
      </c>
      <c r="K5" s="20" t="n">
        <f aca="false">Assumptions!B16+(Assumptions!B17-Assumptions!B16)*9/11</f>
        <v>44.5454545454546</v>
      </c>
      <c r="L5" s="20" t="n">
        <f aca="false">Assumptions!B16+(Assumptions!B17-Assumptions!B16)*10/11</f>
        <v>47.2727272727273</v>
      </c>
      <c r="M5" s="20" t="n">
        <f aca="false">Assumptions!B16+(Assumptions!B17-Assumptions!B16)*11/11</f>
        <v>50</v>
      </c>
      <c r="N5" s="20" t="n">
        <f aca="false">Assumptions!B17</f>
        <v>50</v>
      </c>
      <c r="O5" s="20" t="n">
        <f aca="false">Assumptions!B17</f>
        <v>50</v>
      </c>
      <c r="P5" s="20" t="n">
        <f aca="false">Assumptions!B17</f>
        <v>50</v>
      </c>
      <c r="Q5" s="20" t="n">
        <f aca="false">Assumptions!B17</f>
        <v>50</v>
      </c>
    </row>
    <row r="6" customFormat="false" ht="15" hidden="false" customHeight="false" outlineLevel="0" collapsed="false">
      <c r="A6" s="18" t="s">
        <v>87</v>
      </c>
      <c r="B6" s="20" t="n">
        <f aca="false">Assumptions!B22+(Assumptions!B23-Assumptions!B22)*0/11</f>
        <v>2</v>
      </c>
      <c r="C6" s="20" t="n">
        <f aca="false">Assumptions!B22+(Assumptions!B23-Assumptions!B22)*1/11</f>
        <v>2.36363636363636</v>
      </c>
      <c r="D6" s="20" t="n">
        <f aca="false">Assumptions!B22+(Assumptions!B23-Assumptions!B22)*2/11</f>
        <v>2.72727272727273</v>
      </c>
      <c r="E6" s="20" t="n">
        <f aca="false">Assumptions!B22+(Assumptions!B23-Assumptions!B22)*3/11</f>
        <v>3.09090909090909</v>
      </c>
      <c r="F6" s="20" t="n">
        <f aca="false">Assumptions!B22+(Assumptions!B23-Assumptions!B22)*4/11</f>
        <v>3.45454545454545</v>
      </c>
      <c r="G6" s="20" t="n">
        <f aca="false">Assumptions!B22+(Assumptions!B23-Assumptions!B22)*5/11</f>
        <v>3.81818181818182</v>
      </c>
      <c r="H6" s="20" t="n">
        <f aca="false">Assumptions!B22+(Assumptions!B23-Assumptions!B22)*6/11</f>
        <v>4.18181818181818</v>
      </c>
      <c r="I6" s="20" t="n">
        <f aca="false">Assumptions!B22+(Assumptions!B23-Assumptions!B22)*7/11</f>
        <v>4.54545454545455</v>
      </c>
      <c r="J6" s="20" t="n">
        <f aca="false">Assumptions!B22+(Assumptions!B23-Assumptions!B22)*8/11</f>
        <v>4.90909090909091</v>
      </c>
      <c r="K6" s="20" t="n">
        <f aca="false">Assumptions!B22+(Assumptions!B23-Assumptions!B22)*9/11</f>
        <v>5.27272727272727</v>
      </c>
      <c r="L6" s="20" t="n">
        <f aca="false">Assumptions!B22+(Assumptions!B23-Assumptions!B22)*10/11</f>
        <v>5.63636363636364</v>
      </c>
      <c r="M6" s="20" t="n">
        <f aca="false">Assumptions!B22+(Assumptions!B23-Assumptions!B22)*11/11</f>
        <v>6</v>
      </c>
      <c r="N6" s="20" t="n">
        <f aca="false">Assumptions!B23</f>
        <v>6</v>
      </c>
      <c r="O6" s="20" t="n">
        <f aca="false">Assumptions!B23</f>
        <v>6</v>
      </c>
      <c r="P6" s="20" t="n">
        <f aca="false">Assumptions!B23</f>
        <v>6</v>
      </c>
      <c r="Q6" s="20" t="n">
        <f aca="false">Assumptions!B23</f>
        <v>6</v>
      </c>
    </row>
    <row r="8" customFormat="false" ht="15" hidden="false" customHeight="false" outlineLevel="0" collapsed="false">
      <c r="A8" s="3" t="s">
        <v>88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customFormat="false" ht="15" hidden="false" customHeight="false" outlineLevel="0" collapsed="false">
      <c r="A9" s="18" t="s">
        <v>89</v>
      </c>
      <c r="B9" s="21" t="n">
        <f aca="false">Assumptions!B6*Assumptions!B7*B4*Assumptions!B8*Assumptions!B10</f>
        <v>49140</v>
      </c>
      <c r="C9" s="21" t="n">
        <f aca="false">Assumptions!B6*Assumptions!B7*C4*Assumptions!B8*Assumptions!B10</f>
        <v>51621.8181818182</v>
      </c>
      <c r="D9" s="21" t="n">
        <f aca="false">Assumptions!B6*Assumptions!B7*D4*Assumptions!B8*Assumptions!B10</f>
        <v>54103.6363636364</v>
      </c>
      <c r="E9" s="21" t="n">
        <f aca="false">Assumptions!B6*Assumptions!B7*E4*Assumptions!B8*Assumptions!B10</f>
        <v>56585.4545454546</v>
      </c>
      <c r="F9" s="21" t="n">
        <f aca="false">Assumptions!B6*Assumptions!B7*F4*Assumptions!B8*Assumptions!B10</f>
        <v>59067.2727272727</v>
      </c>
      <c r="G9" s="21" t="n">
        <f aca="false">Assumptions!B6*Assumptions!B7*G4*Assumptions!B8*Assumptions!B10</f>
        <v>61549.0909090909</v>
      </c>
      <c r="H9" s="21" t="n">
        <f aca="false">Assumptions!B6*Assumptions!B7*H4*Assumptions!B8*Assumptions!B10</f>
        <v>64030.9090909091</v>
      </c>
      <c r="I9" s="21" t="n">
        <f aca="false">Assumptions!B6*Assumptions!B7*I4*Assumptions!B8*Assumptions!B10</f>
        <v>66512.7272727273</v>
      </c>
      <c r="J9" s="21" t="n">
        <f aca="false">Assumptions!B6*Assumptions!B7*J4*Assumptions!B8*Assumptions!B10</f>
        <v>68994.5454545455</v>
      </c>
      <c r="K9" s="21" t="n">
        <f aca="false">Assumptions!B6*Assumptions!B7*K4*Assumptions!B8*Assumptions!B10</f>
        <v>71476.3636363636</v>
      </c>
      <c r="L9" s="21" t="n">
        <f aca="false">Assumptions!B6*Assumptions!B7*L4*Assumptions!B8*Assumptions!B10</f>
        <v>73958.1818181818</v>
      </c>
      <c r="M9" s="21" t="n">
        <f aca="false">Assumptions!B6*Assumptions!B7*M4*Assumptions!B8*Assumptions!B10</f>
        <v>76440</v>
      </c>
      <c r="N9" s="21" t="n">
        <f aca="false">Assumptions!B6*Assumptions!B7*Assumptions!B13*Assumptions!B8*Assumptions!B10*12*(1+Assumptions!B27)</f>
        <v>1257984</v>
      </c>
      <c r="O9" s="21" t="n">
        <f aca="false">N9*(1+Assumptions!B28)</f>
        <v>1408942.08</v>
      </c>
      <c r="P9" s="21" t="n">
        <f aca="false">O9*(1+Assumptions!B29)</f>
        <v>1521657.4464</v>
      </c>
      <c r="Q9" s="21" t="n">
        <f aca="false">P9*(1+Assumptions!B30)</f>
        <v>1597740.31872</v>
      </c>
    </row>
    <row r="10" customFormat="false" ht="15" hidden="false" customHeight="false" outlineLevel="0" collapsed="false">
      <c r="A10" s="18" t="s">
        <v>90</v>
      </c>
      <c r="B10" s="21" t="n">
        <f aca="false">Assumptions!B6*Assumptions!B7*B4*Assumptions!B9*Assumptions!B10</f>
        <v>21060</v>
      </c>
      <c r="C10" s="21" t="n">
        <f aca="false">Assumptions!B6*Assumptions!B7*C4*Assumptions!B9*Assumptions!B10</f>
        <v>22123.6363636364</v>
      </c>
      <c r="D10" s="21" t="n">
        <f aca="false">Assumptions!B6*Assumptions!B7*D4*Assumptions!B9*Assumptions!B10</f>
        <v>23187.2727272727</v>
      </c>
      <c r="E10" s="21" t="n">
        <f aca="false">Assumptions!B6*Assumptions!B7*E4*Assumptions!B9*Assumptions!B10</f>
        <v>24250.9090909091</v>
      </c>
      <c r="F10" s="21" t="n">
        <f aca="false">Assumptions!B6*Assumptions!B7*F4*Assumptions!B9*Assumptions!B10</f>
        <v>25314.5454545455</v>
      </c>
      <c r="G10" s="21" t="n">
        <f aca="false">Assumptions!B6*Assumptions!B7*G4*Assumptions!B9*Assumptions!B10</f>
        <v>26378.1818181818</v>
      </c>
      <c r="H10" s="21" t="n">
        <f aca="false">Assumptions!B6*Assumptions!B7*H4*Assumptions!B9*Assumptions!B10</f>
        <v>27441.8181818182</v>
      </c>
      <c r="I10" s="21" t="n">
        <f aca="false">Assumptions!B6*Assumptions!B7*I4*Assumptions!B9*Assumptions!B10</f>
        <v>28505.4545454545</v>
      </c>
      <c r="J10" s="21" t="n">
        <f aca="false">Assumptions!B6*Assumptions!B7*J4*Assumptions!B9*Assumptions!B10</f>
        <v>29569.0909090909</v>
      </c>
      <c r="K10" s="21" t="n">
        <f aca="false">Assumptions!B6*Assumptions!B7*K4*Assumptions!B9*Assumptions!B10</f>
        <v>30632.7272727273</v>
      </c>
      <c r="L10" s="21" t="n">
        <f aca="false">Assumptions!B6*Assumptions!B7*L4*Assumptions!B9*Assumptions!B10</f>
        <v>31696.3636363636</v>
      </c>
      <c r="M10" s="21" t="n">
        <f aca="false">Assumptions!B6*Assumptions!B7*M4*Assumptions!B9*Assumptions!B10</f>
        <v>32760</v>
      </c>
      <c r="N10" s="21" t="n">
        <f aca="false">Assumptions!B6*Assumptions!B7*Assumptions!B13*Assumptions!B9*Assumptions!B10*12*(1+Assumptions!B27)</f>
        <v>539136</v>
      </c>
      <c r="O10" s="21" t="n">
        <f aca="false">N10*(1+Assumptions!B28)</f>
        <v>603832.32</v>
      </c>
      <c r="P10" s="21" t="n">
        <f aca="false">O10*(1+Assumptions!B29)</f>
        <v>652138.9056</v>
      </c>
      <c r="Q10" s="21" t="n">
        <f aca="false">P10*(1+Assumptions!B30)</f>
        <v>684745.85088</v>
      </c>
    </row>
    <row r="11" customFormat="false" ht="15.75" hidden="false" customHeight="true" outlineLevel="0" collapsed="false">
      <c r="A11" s="22" t="s">
        <v>91</v>
      </c>
      <c r="B11" s="23" t="n">
        <f aca="false">B9+B10</f>
        <v>70200</v>
      </c>
      <c r="C11" s="23" t="n">
        <f aca="false">C9+C10</f>
        <v>73745.4545454545</v>
      </c>
      <c r="D11" s="23" t="n">
        <f aca="false">D9+D10</f>
        <v>77290.9090909091</v>
      </c>
      <c r="E11" s="23" t="n">
        <f aca="false">E9+E10</f>
        <v>80836.3636363637</v>
      </c>
      <c r="F11" s="23" t="n">
        <f aca="false">F9+F10</f>
        <v>84381.8181818182</v>
      </c>
      <c r="G11" s="23" t="n">
        <f aca="false">G9+G10</f>
        <v>87927.2727272727</v>
      </c>
      <c r="H11" s="23" t="n">
        <f aca="false">H9+H10</f>
        <v>91472.7272727273</v>
      </c>
      <c r="I11" s="23" t="n">
        <f aca="false">I9+I10</f>
        <v>95018.1818181818</v>
      </c>
      <c r="J11" s="23" t="n">
        <f aca="false">J9+J10</f>
        <v>98563.6363636364</v>
      </c>
      <c r="K11" s="23" t="n">
        <f aca="false">K9+K10</f>
        <v>102109.090909091</v>
      </c>
      <c r="L11" s="23" t="n">
        <f aca="false">L9+L10</f>
        <v>105654.545454545</v>
      </c>
      <c r="M11" s="23" t="n">
        <f aca="false">M9+M10</f>
        <v>109200</v>
      </c>
      <c r="N11" s="23" t="n">
        <f aca="false">N9+N10</f>
        <v>1797120</v>
      </c>
      <c r="O11" s="23" t="n">
        <f aca="false">O9+O10</f>
        <v>2012774.4</v>
      </c>
      <c r="P11" s="23" t="n">
        <f aca="false">P9+P10</f>
        <v>2173796.352</v>
      </c>
      <c r="Q11" s="23" t="n">
        <f aca="false">Q9+Q10</f>
        <v>2282486.1696</v>
      </c>
    </row>
    <row r="12" customFormat="false" ht="15.75" hidden="false" customHeight="true" outlineLevel="0" collapsed="false"/>
    <row r="13" customFormat="false" ht="15" hidden="false" customHeight="false" outlineLevel="0" collapsed="false">
      <c r="A13" s="3" t="s">
        <v>92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customFormat="false" ht="15" hidden="false" customHeight="false" outlineLevel="0" collapsed="false">
      <c r="A14" s="18" t="s">
        <v>93</v>
      </c>
      <c r="B14" s="21" t="n">
        <f aca="false">B5*Assumptions!B18*Assumptions!B10</f>
        <v>16640</v>
      </c>
      <c r="C14" s="21" t="n">
        <f aca="false">C5*Assumptions!B18*Assumptions!B10</f>
        <v>18909.0909090909</v>
      </c>
      <c r="D14" s="21" t="n">
        <f aca="false">D5*Assumptions!B18*Assumptions!B10</f>
        <v>21178.1818181818</v>
      </c>
      <c r="E14" s="21" t="n">
        <f aca="false">E5*Assumptions!B18*Assumptions!B10</f>
        <v>23447.2727272727</v>
      </c>
      <c r="F14" s="21" t="n">
        <f aca="false">F5*Assumptions!B18*Assumptions!B10</f>
        <v>25716.3636363636</v>
      </c>
      <c r="G14" s="21" t="n">
        <f aca="false">G5*Assumptions!B18*Assumptions!B10</f>
        <v>27985.4545454545</v>
      </c>
      <c r="H14" s="21" t="n">
        <f aca="false">H5*Assumptions!B18*Assumptions!B10</f>
        <v>30254.5454545455</v>
      </c>
      <c r="I14" s="21" t="n">
        <f aca="false">I5*Assumptions!B18*Assumptions!B10</f>
        <v>32523.6363636364</v>
      </c>
      <c r="J14" s="21" t="n">
        <f aca="false">J5*Assumptions!B18*Assumptions!B10</f>
        <v>34792.7272727273</v>
      </c>
      <c r="K14" s="21" t="n">
        <f aca="false">K5*Assumptions!B18*Assumptions!B10</f>
        <v>37061.8181818182</v>
      </c>
      <c r="L14" s="21" t="n">
        <f aca="false">L5*Assumptions!B18*Assumptions!B10</f>
        <v>39330.9090909091</v>
      </c>
      <c r="M14" s="21" t="n">
        <f aca="false">M5*Assumptions!B18*Assumptions!B10</f>
        <v>41600</v>
      </c>
      <c r="N14" s="21" t="n">
        <f aca="false">Assumptions!B17*Assumptions!B18*Assumptions!B10*12*(1+Assumptions!B27)</f>
        <v>599040</v>
      </c>
      <c r="O14" s="21" t="n">
        <f aca="false">N14*(1+Assumptions!B28)</f>
        <v>670924.8</v>
      </c>
      <c r="P14" s="21" t="n">
        <f aca="false">O14*(1+Assumptions!B29)</f>
        <v>724598.784</v>
      </c>
      <c r="Q14" s="21" t="n">
        <f aca="false">P14*(1+Assumptions!B30)</f>
        <v>760828.7232</v>
      </c>
    </row>
    <row r="15" customFormat="false" ht="15" hidden="false" customHeight="false" outlineLevel="0" collapsed="false">
      <c r="A15" s="18" t="s">
        <v>94</v>
      </c>
      <c r="B15" s="21" t="n">
        <f aca="false">-B14*Assumptions!B19</f>
        <v>-4160</v>
      </c>
      <c r="C15" s="21" t="n">
        <f aca="false">-C14*Assumptions!B19</f>
        <v>-4727.27272727273</v>
      </c>
      <c r="D15" s="21" t="n">
        <f aca="false">-D14*Assumptions!B19</f>
        <v>-5294.54545454545</v>
      </c>
      <c r="E15" s="21" t="n">
        <f aca="false">-E14*Assumptions!B19</f>
        <v>-5861.81818181818</v>
      </c>
      <c r="F15" s="21" t="n">
        <f aca="false">-F14*Assumptions!B19</f>
        <v>-6429.09090909091</v>
      </c>
      <c r="G15" s="21" t="n">
        <f aca="false">-G14*Assumptions!B19</f>
        <v>-6996.36363636364</v>
      </c>
      <c r="H15" s="21" t="n">
        <f aca="false">-H14*Assumptions!B19</f>
        <v>-7563.63636363636</v>
      </c>
      <c r="I15" s="21" t="n">
        <f aca="false">-I14*Assumptions!B19</f>
        <v>-8130.90909090909</v>
      </c>
      <c r="J15" s="21" t="n">
        <f aca="false">-J14*Assumptions!B19</f>
        <v>-8698.18181818182</v>
      </c>
      <c r="K15" s="21" t="n">
        <f aca="false">-K14*Assumptions!B19</f>
        <v>-9265.45454545455</v>
      </c>
      <c r="L15" s="21" t="n">
        <f aca="false">-L14*Assumptions!B19</f>
        <v>-9832.72727272727</v>
      </c>
      <c r="M15" s="21" t="n">
        <f aca="false">-M14*Assumptions!B19</f>
        <v>-10400</v>
      </c>
      <c r="N15" s="21" t="n">
        <f aca="false">-N14*Assumptions!B19</f>
        <v>-149760</v>
      </c>
      <c r="O15" s="21" t="n">
        <f aca="false">-O14*Assumptions!B19</f>
        <v>-167731.2</v>
      </c>
      <c r="P15" s="21" t="n">
        <f aca="false">-P14*Assumptions!B19</f>
        <v>-181149.696</v>
      </c>
      <c r="Q15" s="21" t="n">
        <f aca="false">-Q14*Assumptions!B19</f>
        <v>-190207.1808</v>
      </c>
    </row>
    <row r="16" customFormat="false" ht="15.75" hidden="false" customHeight="true" outlineLevel="0" collapsed="false">
      <c r="A16" s="22" t="s">
        <v>95</v>
      </c>
      <c r="B16" s="23" t="n">
        <f aca="false">B14+B15</f>
        <v>12480</v>
      </c>
      <c r="C16" s="23" t="n">
        <f aca="false">C14+C15</f>
        <v>14181.8181818182</v>
      </c>
      <c r="D16" s="23" t="n">
        <f aca="false">D14+D15</f>
        <v>15883.6363636364</v>
      </c>
      <c r="E16" s="23" t="n">
        <f aca="false">E14+E15</f>
        <v>17585.4545454545</v>
      </c>
      <c r="F16" s="23" t="n">
        <f aca="false">F14+F15</f>
        <v>19287.2727272727</v>
      </c>
      <c r="G16" s="23" t="n">
        <f aca="false">G14+G15</f>
        <v>20989.0909090909</v>
      </c>
      <c r="H16" s="23" t="n">
        <f aca="false">H14+H15</f>
        <v>22690.9090909091</v>
      </c>
      <c r="I16" s="23" t="n">
        <f aca="false">I14+I15</f>
        <v>24392.7272727273</v>
      </c>
      <c r="J16" s="23" t="n">
        <f aca="false">J14+J15</f>
        <v>26094.5454545455</v>
      </c>
      <c r="K16" s="23" t="n">
        <f aca="false">K14+K15</f>
        <v>27796.3636363636</v>
      </c>
      <c r="L16" s="23" t="n">
        <f aca="false">L14+L15</f>
        <v>29498.1818181818</v>
      </c>
      <c r="M16" s="23" t="n">
        <f aca="false">M14+M15</f>
        <v>31200</v>
      </c>
      <c r="N16" s="23" t="n">
        <f aca="false">N14+N15</f>
        <v>449280</v>
      </c>
      <c r="O16" s="23" t="n">
        <f aca="false">O14+O15</f>
        <v>503193.6</v>
      </c>
      <c r="P16" s="23" t="n">
        <f aca="false">P14+P15</f>
        <v>543449.088</v>
      </c>
      <c r="Q16" s="23" t="n">
        <f aca="false">Q14+Q15</f>
        <v>570621.5424</v>
      </c>
    </row>
    <row r="17" customFormat="false" ht="15.75" hidden="false" customHeight="true" outlineLevel="0" collapsed="false"/>
    <row r="18" customFormat="false" ht="15" hidden="false" customHeight="false" outlineLevel="0" collapsed="false">
      <c r="A18" s="3" t="s">
        <v>96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customFormat="false" ht="15" hidden="false" customHeight="false" outlineLevel="0" collapsed="false">
      <c r="A19" s="18" t="s">
        <v>97</v>
      </c>
      <c r="B19" s="21" t="n">
        <f aca="false">B6*Assumptions!B24</f>
        <v>5000</v>
      </c>
      <c r="C19" s="21" t="n">
        <f aca="false">C6*Assumptions!B24</f>
        <v>5909.09090909091</v>
      </c>
      <c r="D19" s="21" t="n">
        <f aca="false">D6*Assumptions!B24</f>
        <v>6818.18181818182</v>
      </c>
      <c r="E19" s="21" t="n">
        <f aca="false">E6*Assumptions!B24</f>
        <v>7727.27272727273</v>
      </c>
      <c r="F19" s="21" t="n">
        <f aca="false">F6*Assumptions!B24</f>
        <v>8636.36363636364</v>
      </c>
      <c r="G19" s="21" t="n">
        <f aca="false">G6*Assumptions!B24</f>
        <v>9545.45454545455</v>
      </c>
      <c r="H19" s="21" t="n">
        <f aca="false">H6*Assumptions!B24</f>
        <v>10454.5454545455</v>
      </c>
      <c r="I19" s="21" t="n">
        <f aca="false">I6*Assumptions!B24</f>
        <v>11363.6363636364</v>
      </c>
      <c r="J19" s="21" t="n">
        <f aca="false">J6*Assumptions!B24</f>
        <v>12272.7272727273</v>
      </c>
      <c r="K19" s="21" t="n">
        <f aca="false">K6*Assumptions!B24</f>
        <v>13181.8181818182</v>
      </c>
      <c r="L19" s="21" t="n">
        <f aca="false">L6*Assumptions!B24</f>
        <v>14090.9090909091</v>
      </c>
      <c r="M19" s="21" t="n">
        <f aca="false">M6*Assumptions!B24</f>
        <v>15000</v>
      </c>
      <c r="N19" s="21" t="n">
        <f aca="false">Assumptions!B23*Assumptions!B24*12*(1+Assumptions!B27)</f>
        <v>216000</v>
      </c>
      <c r="O19" s="21" t="n">
        <f aca="false">N19*(1+Assumptions!B28)</f>
        <v>241920</v>
      </c>
      <c r="P19" s="21" t="n">
        <f aca="false">O19*(1+Assumptions!B29)</f>
        <v>261273.6</v>
      </c>
      <c r="Q19" s="21" t="n">
        <f aca="false">P19*(1+Assumptions!B30)</f>
        <v>274337.28</v>
      </c>
    </row>
    <row r="20" customFormat="false" ht="15.75" hidden="false" customHeight="true" outlineLevel="0" collapsed="false">
      <c r="A20" s="22" t="s">
        <v>98</v>
      </c>
      <c r="B20" s="23" t="n">
        <f aca="false">B19</f>
        <v>5000</v>
      </c>
      <c r="C20" s="23" t="n">
        <f aca="false">C19</f>
        <v>5909.09090909091</v>
      </c>
      <c r="D20" s="23" t="n">
        <f aca="false">D19</f>
        <v>6818.18181818182</v>
      </c>
      <c r="E20" s="23" t="n">
        <f aca="false">E19</f>
        <v>7727.27272727273</v>
      </c>
      <c r="F20" s="23" t="n">
        <f aca="false">F19</f>
        <v>8636.36363636364</v>
      </c>
      <c r="G20" s="23" t="n">
        <f aca="false">G19</f>
        <v>9545.45454545455</v>
      </c>
      <c r="H20" s="23" t="n">
        <f aca="false">H19</f>
        <v>10454.5454545455</v>
      </c>
      <c r="I20" s="23" t="n">
        <f aca="false">I19</f>
        <v>11363.6363636364</v>
      </c>
      <c r="J20" s="23" t="n">
        <f aca="false">J19</f>
        <v>12272.7272727273</v>
      </c>
      <c r="K20" s="23" t="n">
        <f aca="false">K19</f>
        <v>13181.8181818182</v>
      </c>
      <c r="L20" s="23" t="n">
        <f aca="false">L19</f>
        <v>14090.9090909091</v>
      </c>
      <c r="M20" s="23" t="n">
        <f aca="false">M19</f>
        <v>15000</v>
      </c>
      <c r="N20" s="23" t="n">
        <f aca="false">N19</f>
        <v>216000</v>
      </c>
      <c r="O20" s="23" t="n">
        <f aca="false">O19</f>
        <v>241920</v>
      </c>
      <c r="P20" s="23" t="n">
        <f aca="false">P19</f>
        <v>261273.6</v>
      </c>
      <c r="Q20" s="23" t="n">
        <f aca="false">Q19</f>
        <v>274337.28</v>
      </c>
    </row>
    <row r="21" customFormat="false" ht="15.75" hidden="false" customHeight="true" outlineLevel="0" collapsed="false"/>
    <row r="22" customFormat="false" ht="15" hidden="false" customHeight="false" outlineLevel="0" collapsed="false">
      <c r="A22" s="3" t="s">
        <v>99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customFormat="false" ht="15.75" hidden="false" customHeight="true" outlineLevel="0" collapsed="false">
      <c r="A23" s="22" t="s">
        <v>100</v>
      </c>
      <c r="B23" s="23" t="n">
        <f aca="false">B11+B16+B20</f>
        <v>87680</v>
      </c>
      <c r="C23" s="23" t="n">
        <f aca="false">C11+C16+C20</f>
        <v>93836.3636363636</v>
      </c>
      <c r="D23" s="23" t="n">
        <f aca="false">D11+D16+D20</f>
        <v>99992.7272727273</v>
      </c>
      <c r="E23" s="23" t="n">
        <f aca="false">E11+E16+E20</f>
        <v>106149.090909091</v>
      </c>
      <c r="F23" s="23" t="n">
        <f aca="false">F11+F16+F20</f>
        <v>112305.454545455</v>
      </c>
      <c r="G23" s="23" t="n">
        <f aca="false">G11+G16+G20</f>
        <v>118461.818181818</v>
      </c>
      <c r="H23" s="23" t="n">
        <f aca="false">H11+H16+H20</f>
        <v>124618.181818182</v>
      </c>
      <c r="I23" s="23" t="n">
        <f aca="false">I11+I16+I20</f>
        <v>130774.545454545</v>
      </c>
      <c r="J23" s="23" t="n">
        <f aca="false">J11+J16+J20</f>
        <v>136930.909090909</v>
      </c>
      <c r="K23" s="23" t="n">
        <f aca="false">K11+K16+K20</f>
        <v>143087.272727273</v>
      </c>
      <c r="L23" s="23" t="n">
        <f aca="false">L11+L16+L20</f>
        <v>149243.636363636</v>
      </c>
      <c r="M23" s="23" t="n">
        <f aca="false">M11+M16+M20</f>
        <v>155400</v>
      </c>
      <c r="N23" s="23" t="n">
        <f aca="false">N11+N16+N20</f>
        <v>2462400</v>
      </c>
      <c r="O23" s="23" t="n">
        <f aca="false">O11+O16+O20</f>
        <v>2757888</v>
      </c>
      <c r="P23" s="23" t="n">
        <f aca="false">P11+P16+P20</f>
        <v>2978519.04</v>
      </c>
      <c r="Q23" s="23" t="n">
        <f aca="false">Q11+Q16+Q20</f>
        <v>3127444.992</v>
      </c>
    </row>
    <row r="24" customFormat="false" ht="15.75" hidden="false" customHeight="true" outlineLevel="0" collapsed="false">
      <c r="A24" s="18" t="s">
        <v>101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9" t="n">
        <f aca="false">Assumptions!B27</f>
        <v>0.2</v>
      </c>
      <c r="O24" s="19" t="n">
        <f aca="false">Assumptions!B28</f>
        <v>0.12</v>
      </c>
      <c r="P24" s="19" t="n">
        <f aca="false">Assumptions!B29</f>
        <v>0.08</v>
      </c>
      <c r="Q24" s="19" t="n">
        <f aca="false">Assumptions!B30</f>
        <v>0.05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Q52"/>
  <sheetViews>
    <sheetView showFormulas="false" showGridLines="true" showRowColHeaders="true" showZeros="true" rightToLeft="false" tabSelected="false" showOutlineSymbols="true" defaultGridColor="true" view="normal" topLeftCell="I1" colorId="64" zoomScale="100" zoomScaleNormal="100" zoomScalePageLayoutView="100" workbookViewId="0">
      <pane xSplit="0" ySplit="1" topLeftCell="A2" activePane="bottomLeft" state="frozen"/>
      <selection pane="topLeft" activeCell="I1" activeCellId="0" sqref="I1"/>
      <selection pane="bottomLeft" activeCell="A1" activeCellId="0" sqref="A1"/>
    </sheetView>
  </sheetViews>
  <sheetFormatPr defaultColWidth="10.8359375" defaultRowHeight="15" customHeight="false" zeroHeight="false" outlineLevelRow="0" outlineLevelCol="0"/>
  <cols>
    <col collapsed="false" customWidth="true" hidden="false" outlineLevel="0" max="1" min="1" style="1" width="41.66"/>
    <col collapsed="false" customWidth="true" hidden="false" outlineLevel="0" max="17" min="2" style="1" width="18.33"/>
    <col collapsed="false" customWidth="false" hidden="false" outlineLevel="0" max="16384" min="18" style="1" width="10.83"/>
  </cols>
  <sheetData>
    <row r="1" customFormat="false" ht="30" hidden="false" customHeight="true" outlineLevel="0" collapsed="false">
      <c r="A1" s="17" t="s">
        <v>102</v>
      </c>
      <c r="B1" s="17" t="s">
        <v>68</v>
      </c>
      <c r="C1" s="17" t="s">
        <v>69</v>
      </c>
      <c r="D1" s="17" t="s">
        <v>70</v>
      </c>
      <c r="E1" s="17" t="s">
        <v>71</v>
      </c>
      <c r="F1" s="17" t="s">
        <v>72</v>
      </c>
      <c r="G1" s="17" t="s">
        <v>73</v>
      </c>
      <c r="H1" s="17" t="s">
        <v>74</v>
      </c>
      <c r="I1" s="17" t="s">
        <v>75</v>
      </c>
      <c r="J1" s="17" t="s">
        <v>76</v>
      </c>
      <c r="K1" s="17" t="s">
        <v>77</v>
      </c>
      <c r="L1" s="17" t="s">
        <v>78</v>
      </c>
      <c r="M1" s="17" t="s">
        <v>79</v>
      </c>
      <c r="N1" s="17" t="s">
        <v>80</v>
      </c>
      <c r="O1" s="17" t="s">
        <v>81</v>
      </c>
      <c r="P1" s="17" t="s">
        <v>82</v>
      </c>
      <c r="Q1" s="17" t="s">
        <v>83</v>
      </c>
    </row>
    <row r="3" customFormat="false" ht="15" hidden="false" customHeight="false" outlineLevel="0" collapsed="false">
      <c r="A3" s="3" t="s">
        <v>103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Format="false" ht="15" hidden="false" customHeight="false" outlineLevel="0" collapsed="false">
      <c r="A4" s="18" t="s">
        <v>89</v>
      </c>
      <c r="B4" s="21" t="n">
        <f aca="false">'Revenue Model'!B11</f>
        <v>70200</v>
      </c>
      <c r="C4" s="21" t="n">
        <f aca="false">'Revenue Model'!C11</f>
        <v>73745.4545454545</v>
      </c>
      <c r="D4" s="21" t="n">
        <f aca="false">'Revenue Model'!D11</f>
        <v>77290.9090909091</v>
      </c>
      <c r="E4" s="21" t="n">
        <f aca="false">'Revenue Model'!E11</f>
        <v>80836.3636363637</v>
      </c>
      <c r="F4" s="21" t="n">
        <f aca="false">'Revenue Model'!F11</f>
        <v>84381.8181818182</v>
      </c>
      <c r="G4" s="21" t="n">
        <f aca="false">'Revenue Model'!G11</f>
        <v>87927.2727272727</v>
      </c>
      <c r="H4" s="21" t="n">
        <f aca="false">'Revenue Model'!H11</f>
        <v>91472.7272727273</v>
      </c>
      <c r="I4" s="21" t="n">
        <f aca="false">'Revenue Model'!I11</f>
        <v>95018.1818181818</v>
      </c>
      <c r="J4" s="21" t="n">
        <f aca="false">'Revenue Model'!J11</f>
        <v>98563.6363636364</v>
      </c>
      <c r="K4" s="21" t="n">
        <f aca="false">'Revenue Model'!K11</f>
        <v>102109.090909091</v>
      </c>
      <c r="L4" s="21" t="n">
        <f aca="false">'Revenue Model'!L11</f>
        <v>105654.545454545</v>
      </c>
      <c r="M4" s="21" t="n">
        <f aca="false">'Revenue Model'!M11</f>
        <v>109200</v>
      </c>
      <c r="N4" s="21" t="n">
        <f aca="false">'Revenue Model'!N11</f>
        <v>1797120</v>
      </c>
      <c r="O4" s="21" t="n">
        <f aca="false">'Revenue Model'!O11</f>
        <v>2012774.4</v>
      </c>
      <c r="P4" s="21" t="n">
        <f aca="false">'Revenue Model'!P11</f>
        <v>2173796.352</v>
      </c>
      <c r="Q4" s="21" t="n">
        <f aca="false">'Revenue Model'!Q11</f>
        <v>2282486.1696</v>
      </c>
    </row>
    <row r="5" customFormat="false" ht="15" hidden="false" customHeight="false" outlineLevel="0" collapsed="false">
      <c r="A5" s="18" t="s">
        <v>104</v>
      </c>
      <c r="B5" s="21" t="n">
        <f aca="false">'Revenue Model'!B16</f>
        <v>12480</v>
      </c>
      <c r="C5" s="21" t="n">
        <f aca="false">'Revenue Model'!C16</f>
        <v>14181.8181818182</v>
      </c>
      <c r="D5" s="21" t="n">
        <f aca="false">'Revenue Model'!D16</f>
        <v>15883.6363636364</v>
      </c>
      <c r="E5" s="21" t="n">
        <f aca="false">'Revenue Model'!E16</f>
        <v>17585.4545454545</v>
      </c>
      <c r="F5" s="21" t="n">
        <f aca="false">'Revenue Model'!F16</f>
        <v>19287.2727272727</v>
      </c>
      <c r="G5" s="21" t="n">
        <f aca="false">'Revenue Model'!G16</f>
        <v>20989.0909090909</v>
      </c>
      <c r="H5" s="21" t="n">
        <f aca="false">'Revenue Model'!H16</f>
        <v>22690.9090909091</v>
      </c>
      <c r="I5" s="21" t="n">
        <f aca="false">'Revenue Model'!I16</f>
        <v>24392.7272727273</v>
      </c>
      <c r="J5" s="21" t="n">
        <f aca="false">'Revenue Model'!J16</f>
        <v>26094.5454545455</v>
      </c>
      <c r="K5" s="21" t="n">
        <f aca="false">'Revenue Model'!K16</f>
        <v>27796.3636363636</v>
      </c>
      <c r="L5" s="21" t="n">
        <f aca="false">'Revenue Model'!L16</f>
        <v>29498.1818181818</v>
      </c>
      <c r="M5" s="21" t="n">
        <f aca="false">'Revenue Model'!M16</f>
        <v>31200</v>
      </c>
      <c r="N5" s="21" t="n">
        <f aca="false">'Revenue Model'!N16</f>
        <v>449280</v>
      </c>
      <c r="O5" s="21" t="n">
        <f aca="false">'Revenue Model'!O16</f>
        <v>503193.6</v>
      </c>
      <c r="P5" s="21" t="n">
        <f aca="false">'Revenue Model'!P16</f>
        <v>543449.088</v>
      </c>
      <c r="Q5" s="21" t="n">
        <f aca="false">'Revenue Model'!Q16</f>
        <v>570621.5424</v>
      </c>
    </row>
    <row r="6" customFormat="false" ht="15" hidden="false" customHeight="false" outlineLevel="0" collapsed="false">
      <c r="A6" s="18" t="s">
        <v>97</v>
      </c>
      <c r="B6" s="21" t="n">
        <f aca="false">'Revenue Model'!B20</f>
        <v>5000</v>
      </c>
      <c r="C6" s="21" t="n">
        <f aca="false">'Revenue Model'!C20</f>
        <v>5909.09090909091</v>
      </c>
      <c r="D6" s="21" t="n">
        <f aca="false">'Revenue Model'!D20</f>
        <v>6818.18181818182</v>
      </c>
      <c r="E6" s="21" t="n">
        <f aca="false">'Revenue Model'!E20</f>
        <v>7727.27272727273</v>
      </c>
      <c r="F6" s="21" t="n">
        <f aca="false">'Revenue Model'!F20</f>
        <v>8636.36363636364</v>
      </c>
      <c r="G6" s="21" t="n">
        <f aca="false">'Revenue Model'!G20</f>
        <v>9545.45454545455</v>
      </c>
      <c r="H6" s="21" t="n">
        <f aca="false">'Revenue Model'!H20</f>
        <v>10454.5454545455</v>
      </c>
      <c r="I6" s="21" t="n">
        <f aca="false">'Revenue Model'!I20</f>
        <v>11363.6363636364</v>
      </c>
      <c r="J6" s="21" t="n">
        <f aca="false">'Revenue Model'!J20</f>
        <v>12272.7272727273</v>
      </c>
      <c r="K6" s="21" t="n">
        <f aca="false">'Revenue Model'!K20</f>
        <v>13181.8181818182</v>
      </c>
      <c r="L6" s="21" t="n">
        <f aca="false">'Revenue Model'!L20</f>
        <v>14090.9090909091</v>
      </c>
      <c r="M6" s="21" t="n">
        <f aca="false">'Revenue Model'!M20</f>
        <v>15000</v>
      </c>
      <c r="N6" s="21" t="n">
        <f aca="false">'Revenue Model'!N20</f>
        <v>216000</v>
      </c>
      <c r="O6" s="21" t="n">
        <f aca="false">'Revenue Model'!O20</f>
        <v>241920</v>
      </c>
      <c r="P6" s="21" t="n">
        <f aca="false">'Revenue Model'!P20</f>
        <v>261273.6</v>
      </c>
      <c r="Q6" s="21" t="n">
        <f aca="false">'Revenue Model'!Q20</f>
        <v>274337.28</v>
      </c>
    </row>
    <row r="7" customFormat="false" ht="15.75" hidden="false" customHeight="true" outlineLevel="0" collapsed="false">
      <c r="A7" s="22" t="s">
        <v>105</v>
      </c>
      <c r="B7" s="23" t="n">
        <f aca="false">B4+B5+B6</f>
        <v>87680</v>
      </c>
      <c r="C7" s="23" t="n">
        <f aca="false">C4+C5+C6</f>
        <v>93836.3636363636</v>
      </c>
      <c r="D7" s="23" t="n">
        <f aca="false">D4+D5+D6</f>
        <v>99992.7272727273</v>
      </c>
      <c r="E7" s="23" t="n">
        <f aca="false">E4+E5+E6</f>
        <v>106149.090909091</v>
      </c>
      <c r="F7" s="23" t="n">
        <f aca="false">F4+F5+F6</f>
        <v>112305.454545455</v>
      </c>
      <c r="G7" s="23" t="n">
        <f aca="false">G4+G5+G6</f>
        <v>118461.818181818</v>
      </c>
      <c r="H7" s="23" t="n">
        <f aca="false">H4+H5+H6</f>
        <v>124618.181818182</v>
      </c>
      <c r="I7" s="23" t="n">
        <f aca="false">I4+I5+I6</f>
        <v>130774.545454545</v>
      </c>
      <c r="J7" s="23" t="n">
        <f aca="false">J4+J5+J6</f>
        <v>136930.909090909</v>
      </c>
      <c r="K7" s="23" t="n">
        <f aca="false">K4+K5+K6</f>
        <v>143087.272727273</v>
      </c>
      <c r="L7" s="23" t="n">
        <f aca="false">L4+L5+L6</f>
        <v>149243.636363636</v>
      </c>
      <c r="M7" s="23" t="n">
        <f aca="false">M4+M5+M6</f>
        <v>155400</v>
      </c>
      <c r="N7" s="23" t="n">
        <f aca="false">N4+N5+N6</f>
        <v>2462400</v>
      </c>
      <c r="O7" s="23" t="n">
        <f aca="false">O4+O5+O6</f>
        <v>2757888</v>
      </c>
      <c r="P7" s="23" t="n">
        <f aca="false">P4+P5+P6</f>
        <v>2978519.04</v>
      </c>
      <c r="Q7" s="23" t="n">
        <f aca="false">Q4+Q5+Q6</f>
        <v>3127444.992</v>
      </c>
    </row>
    <row r="8" customFormat="false" ht="15.75" hidden="false" customHeight="true" outlineLevel="0" collapsed="false"/>
    <row r="9" customFormat="false" ht="15" hidden="false" customHeight="false" outlineLevel="0" collapsed="false">
      <c r="A9" s="3" t="s">
        <v>25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customFormat="false" ht="15" hidden="false" customHeight="false" outlineLevel="0" collapsed="false">
      <c r="A10" s="18" t="s">
        <v>106</v>
      </c>
      <c r="B10" s="21" t="n">
        <f aca="false">'Revenue Model'!B9*Assumptions!B33</f>
        <v>14742</v>
      </c>
      <c r="C10" s="21" t="n">
        <f aca="false">'Revenue Model'!C9*Assumptions!B33</f>
        <v>15486.5454545455</v>
      </c>
      <c r="D10" s="21" t="n">
        <f aca="false">'Revenue Model'!D9*Assumptions!B33</f>
        <v>16231.0909090909</v>
      </c>
      <c r="E10" s="21" t="n">
        <f aca="false">'Revenue Model'!E9*Assumptions!B33</f>
        <v>16975.6363636364</v>
      </c>
      <c r="F10" s="21" t="n">
        <f aca="false">'Revenue Model'!F9*Assumptions!B33</f>
        <v>17720.1818181818</v>
      </c>
      <c r="G10" s="21" t="n">
        <f aca="false">'Revenue Model'!G9*Assumptions!B33</f>
        <v>18464.7272727273</v>
      </c>
      <c r="H10" s="21" t="n">
        <f aca="false">'Revenue Model'!H9*Assumptions!B33</f>
        <v>19209.2727272727</v>
      </c>
      <c r="I10" s="21" t="n">
        <f aca="false">'Revenue Model'!I9*Assumptions!B33</f>
        <v>19953.8181818182</v>
      </c>
      <c r="J10" s="21" t="n">
        <f aca="false">'Revenue Model'!J9*Assumptions!B33</f>
        <v>20698.3636363636</v>
      </c>
      <c r="K10" s="21" t="n">
        <f aca="false">'Revenue Model'!K9*Assumptions!B33</f>
        <v>21442.9090909091</v>
      </c>
      <c r="L10" s="21" t="n">
        <f aca="false">'Revenue Model'!L9*Assumptions!B33</f>
        <v>22187.4545454545</v>
      </c>
      <c r="M10" s="21" t="n">
        <f aca="false">'Revenue Model'!M9*Assumptions!B33</f>
        <v>22932</v>
      </c>
      <c r="N10" s="21" t="n">
        <f aca="false">'Revenue Model'!N9*Assumptions!B33</f>
        <v>377395.2</v>
      </c>
      <c r="O10" s="21" t="n">
        <f aca="false">'Revenue Model'!O9*Assumptions!B33</f>
        <v>422682.624</v>
      </c>
      <c r="P10" s="21" t="n">
        <f aca="false">'Revenue Model'!P9*Assumptions!B33</f>
        <v>456497.23392</v>
      </c>
      <c r="Q10" s="21" t="n">
        <f aca="false">'Revenue Model'!Q9*Assumptions!B33</f>
        <v>479322.095616</v>
      </c>
    </row>
    <row r="11" customFormat="false" ht="15" hidden="false" customHeight="false" outlineLevel="0" collapsed="false">
      <c r="A11" s="18" t="s">
        <v>107</v>
      </c>
      <c r="B11" s="21" t="n">
        <f aca="false">'Revenue Model'!B10*Assumptions!B34</f>
        <v>4633.2</v>
      </c>
      <c r="C11" s="21" t="n">
        <f aca="false">'Revenue Model'!C10*Assumptions!B34</f>
        <v>4867.2</v>
      </c>
      <c r="D11" s="21" t="n">
        <f aca="false">'Revenue Model'!D10*Assumptions!B34</f>
        <v>5101.2</v>
      </c>
      <c r="E11" s="21" t="n">
        <f aca="false">'Revenue Model'!E10*Assumptions!B34</f>
        <v>5335.2</v>
      </c>
      <c r="F11" s="21" t="n">
        <f aca="false">'Revenue Model'!F10*Assumptions!B34</f>
        <v>5569.2</v>
      </c>
      <c r="G11" s="21" t="n">
        <f aca="false">'Revenue Model'!G10*Assumptions!B34</f>
        <v>5803.2</v>
      </c>
      <c r="H11" s="21" t="n">
        <f aca="false">'Revenue Model'!H10*Assumptions!B34</f>
        <v>6037.2</v>
      </c>
      <c r="I11" s="21" t="n">
        <f aca="false">'Revenue Model'!I10*Assumptions!B34</f>
        <v>6271.2</v>
      </c>
      <c r="J11" s="21" t="n">
        <f aca="false">'Revenue Model'!J10*Assumptions!B34</f>
        <v>6505.2</v>
      </c>
      <c r="K11" s="21" t="n">
        <f aca="false">'Revenue Model'!K10*Assumptions!B34</f>
        <v>6739.2</v>
      </c>
      <c r="L11" s="21" t="n">
        <f aca="false">'Revenue Model'!L10*Assumptions!B34</f>
        <v>6973.2</v>
      </c>
      <c r="M11" s="21" t="n">
        <f aca="false">'Revenue Model'!M10*Assumptions!B34</f>
        <v>7207.2</v>
      </c>
      <c r="N11" s="21" t="n">
        <f aca="false">'Revenue Model'!N10*Assumptions!B34</f>
        <v>118609.92</v>
      </c>
      <c r="O11" s="21" t="n">
        <f aca="false">'Revenue Model'!O10*Assumptions!B34</f>
        <v>132843.1104</v>
      </c>
      <c r="P11" s="21" t="n">
        <f aca="false">'Revenue Model'!P10*Assumptions!B34</f>
        <v>143470.559232</v>
      </c>
      <c r="Q11" s="21" t="n">
        <f aca="false">'Revenue Model'!Q10*Assumptions!B34</f>
        <v>150644.0871936</v>
      </c>
    </row>
    <row r="12" customFormat="false" ht="15" hidden="false" customHeight="false" outlineLevel="0" collapsed="false">
      <c r="A12" s="18" t="s">
        <v>108</v>
      </c>
      <c r="B12" s="21" t="n">
        <f aca="false">'Revenue Model'!B19*Assumptions!B35</f>
        <v>1750</v>
      </c>
      <c r="C12" s="21" t="n">
        <f aca="false">'Revenue Model'!C19*Assumptions!B35</f>
        <v>2068.18181818182</v>
      </c>
      <c r="D12" s="21" t="n">
        <f aca="false">'Revenue Model'!D19*Assumptions!B35</f>
        <v>2386.36363636364</v>
      </c>
      <c r="E12" s="21" t="n">
        <f aca="false">'Revenue Model'!E19*Assumptions!B35</f>
        <v>2704.54545454545</v>
      </c>
      <c r="F12" s="21" t="n">
        <f aca="false">'Revenue Model'!F19*Assumptions!B35</f>
        <v>3022.72727272727</v>
      </c>
      <c r="G12" s="21" t="n">
        <f aca="false">'Revenue Model'!G19*Assumptions!B35</f>
        <v>3340.90909090909</v>
      </c>
      <c r="H12" s="21" t="n">
        <f aca="false">'Revenue Model'!H19*Assumptions!B35</f>
        <v>3659.09090909091</v>
      </c>
      <c r="I12" s="21" t="n">
        <f aca="false">'Revenue Model'!I19*Assumptions!B35</f>
        <v>3977.27272727273</v>
      </c>
      <c r="J12" s="21" t="n">
        <f aca="false">'Revenue Model'!J19*Assumptions!B35</f>
        <v>4295.45454545455</v>
      </c>
      <c r="K12" s="21" t="n">
        <f aca="false">'Revenue Model'!K19*Assumptions!B35</f>
        <v>4613.63636363636</v>
      </c>
      <c r="L12" s="21" t="n">
        <f aca="false">'Revenue Model'!L19*Assumptions!B35</f>
        <v>4931.81818181818</v>
      </c>
      <c r="M12" s="21" t="n">
        <f aca="false">'Revenue Model'!M19*Assumptions!B35</f>
        <v>5250</v>
      </c>
      <c r="N12" s="21" t="n">
        <f aca="false">'Revenue Model'!N19*Assumptions!B35</f>
        <v>75600</v>
      </c>
      <c r="O12" s="21" t="n">
        <f aca="false">'Revenue Model'!O19*Assumptions!B35</f>
        <v>84672</v>
      </c>
      <c r="P12" s="21" t="n">
        <f aca="false">'Revenue Model'!P19*Assumptions!B35</f>
        <v>91445.76</v>
      </c>
      <c r="Q12" s="21" t="n">
        <f aca="false">'Revenue Model'!Q19*Assumptions!B35</f>
        <v>96018.048</v>
      </c>
    </row>
    <row r="13" customFormat="false" ht="15.75" hidden="false" customHeight="true" outlineLevel="0" collapsed="false">
      <c r="A13" s="22" t="s">
        <v>109</v>
      </c>
      <c r="B13" s="23" t="n">
        <f aca="false">B10+B11+B12</f>
        <v>21125.2</v>
      </c>
      <c r="C13" s="23" t="n">
        <f aca="false">C10+C11+C12</f>
        <v>22421.9272727273</v>
      </c>
      <c r="D13" s="23" t="n">
        <f aca="false">D10+D11+D12</f>
        <v>23718.6545454545</v>
      </c>
      <c r="E13" s="23" t="n">
        <f aca="false">E10+E11+E12</f>
        <v>25015.3818181818</v>
      </c>
      <c r="F13" s="23" t="n">
        <f aca="false">F10+F11+F12</f>
        <v>26312.1090909091</v>
      </c>
      <c r="G13" s="23" t="n">
        <f aca="false">G10+G11+G12</f>
        <v>27608.8363636364</v>
      </c>
      <c r="H13" s="23" t="n">
        <f aca="false">H10+H11+H12</f>
        <v>28905.5636363636</v>
      </c>
      <c r="I13" s="23" t="n">
        <f aca="false">I10+I11+I12</f>
        <v>30202.2909090909</v>
      </c>
      <c r="J13" s="23" t="n">
        <f aca="false">J10+J11+J12</f>
        <v>31499.0181818182</v>
      </c>
      <c r="K13" s="23" t="n">
        <f aca="false">K10+K11+K12</f>
        <v>32795.7454545455</v>
      </c>
      <c r="L13" s="23" t="n">
        <f aca="false">L10+L11+L12</f>
        <v>34092.4727272727</v>
      </c>
      <c r="M13" s="23" t="n">
        <f aca="false">M10+M11+M12</f>
        <v>35389.2</v>
      </c>
      <c r="N13" s="23" t="n">
        <f aca="false">N10+N11+N12</f>
        <v>571605.12</v>
      </c>
      <c r="O13" s="23" t="n">
        <f aca="false">O10+O11+O12</f>
        <v>640197.7344</v>
      </c>
      <c r="P13" s="23" t="n">
        <f aca="false">P10+P11+P12</f>
        <v>691413.553152</v>
      </c>
      <c r="Q13" s="23" t="n">
        <f aca="false">Q10+Q11+Q12</f>
        <v>725984.2308096</v>
      </c>
    </row>
    <row r="14" customFormat="false" ht="15.75" hidden="false" customHeight="true" outlineLevel="0" collapsed="false"/>
    <row r="15" customFormat="false" ht="15.75" hidden="false" customHeight="true" outlineLevel="0" collapsed="false">
      <c r="A15" s="22" t="s">
        <v>110</v>
      </c>
      <c r="B15" s="23" t="n">
        <f aca="false">B7-B13</f>
        <v>66554.8</v>
      </c>
      <c r="C15" s="23" t="n">
        <f aca="false">C7-C13</f>
        <v>71414.4363636364</v>
      </c>
      <c r="D15" s="23" t="n">
        <f aca="false">D7-D13</f>
        <v>76274.0727272728</v>
      </c>
      <c r="E15" s="23" t="n">
        <f aca="false">E7-E13</f>
        <v>81133.7090909091</v>
      </c>
      <c r="F15" s="23" t="n">
        <f aca="false">F7-F13</f>
        <v>85993.3454545455</v>
      </c>
      <c r="G15" s="23" t="n">
        <f aca="false">G7-G13</f>
        <v>90852.9818181818</v>
      </c>
      <c r="H15" s="23" t="n">
        <f aca="false">H7-H13</f>
        <v>95712.6181818182</v>
      </c>
      <c r="I15" s="23" t="n">
        <f aca="false">I7-I13</f>
        <v>100572.254545455</v>
      </c>
      <c r="J15" s="23" t="n">
        <f aca="false">J7-J13</f>
        <v>105431.890909091</v>
      </c>
      <c r="K15" s="23" t="n">
        <f aca="false">K7-K13</f>
        <v>110291.527272727</v>
      </c>
      <c r="L15" s="23" t="n">
        <f aca="false">L7-L13</f>
        <v>115151.163636364</v>
      </c>
      <c r="M15" s="23" t="n">
        <f aca="false">M7-M13</f>
        <v>120010.8</v>
      </c>
      <c r="N15" s="23" t="n">
        <f aca="false">N7-N13</f>
        <v>1890794.88</v>
      </c>
      <c r="O15" s="23" t="n">
        <f aca="false">O7-O13</f>
        <v>2117690.2656</v>
      </c>
      <c r="P15" s="23" t="n">
        <f aca="false">P7-P13</f>
        <v>2287105.486848</v>
      </c>
      <c r="Q15" s="23" t="n">
        <f aca="false">Q7-Q13</f>
        <v>2401460.7611904</v>
      </c>
    </row>
    <row r="16" customFormat="false" ht="15.75" hidden="false" customHeight="true" outlineLevel="0" collapsed="false">
      <c r="A16" s="18" t="s">
        <v>111</v>
      </c>
      <c r="B16" s="19" t="n">
        <f aca="false">IF(B7=0,0,B15/B7)</f>
        <v>0.759064781021898</v>
      </c>
      <c r="C16" s="19" t="n">
        <f aca="false">IF(C7=0,0,C15/C7)</f>
        <v>0.761052896725441</v>
      </c>
      <c r="D16" s="19" t="n">
        <f aca="false">IF(D7=0,0,D15/D7)</f>
        <v>0.762796203360245</v>
      </c>
      <c r="E16" s="19" t="n">
        <f aca="false">IF(E7=0,0,E15/E7)</f>
        <v>0.764337295741838</v>
      </c>
      <c r="F16" s="19" t="n">
        <f aca="false">IF(F7=0,0,F15/F7)</f>
        <v>0.765709428830462</v>
      </c>
      <c r="G16" s="19" t="n">
        <f aca="false">IF(G7=0,0,G15/G7)</f>
        <v>0.766938944654204</v>
      </c>
      <c r="H16" s="19" t="n">
        <f aca="false">IF(H7=0,0,H15/H7)</f>
        <v>0.768046979865772</v>
      </c>
      <c r="I16" s="19" t="n">
        <f aca="false">IF(I7=0,0,I15/I7)</f>
        <v>0.76905069098796</v>
      </c>
      <c r="J16" s="19" t="n">
        <f aca="false">IF(J7=0,0,J15/J7)</f>
        <v>0.769964149139579</v>
      </c>
      <c r="K16" s="19" t="n">
        <f aca="false">IF(K7=0,0,K15/K7)</f>
        <v>0.770799003786627</v>
      </c>
      <c r="L16" s="19" t="n">
        <f aca="false">IF(L7=0,0,L15/L7)</f>
        <v>0.771564982213342</v>
      </c>
      <c r="M16" s="19" t="n">
        <f aca="false">IF(M7=0,0,M15/M7)</f>
        <v>0.77227027027027</v>
      </c>
      <c r="N16" s="19" t="n">
        <f aca="false">IF(N7=0,0,N15/N7)</f>
        <v>0.767866666666667</v>
      </c>
      <c r="O16" s="19" t="n">
        <f aca="false">IF(O7=0,0,O15/O7)</f>
        <v>0.767866666666667</v>
      </c>
      <c r="P16" s="19" t="n">
        <f aca="false">IF(P7=0,0,P15/P7)</f>
        <v>0.767866666666667</v>
      </c>
      <c r="Q16" s="19" t="n">
        <f aca="false">IF(Q7=0,0,Q15/Q7)</f>
        <v>0.767866666666667</v>
      </c>
    </row>
    <row r="18" customFormat="false" ht="15" hidden="false" customHeight="false" outlineLevel="0" collapsed="false">
      <c r="A18" s="3" t="s">
        <v>112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customFormat="false" ht="15" hidden="false" customHeight="false" outlineLevel="0" collapsed="false">
      <c r="A19" s="18" t="s">
        <v>113</v>
      </c>
      <c r="B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C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D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E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F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G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H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I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J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K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L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M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(Assumptions!B39*Assumptions!C39+Assumptions!B40*Assumptions!C40+Assumptions!B41*Assumptions!C41+Assumptions!B42*Assumptions!C42+Assumptions!B43*Assumptions!C43+Assumptions!B44*Assumptions!C44+Assumptions!B45*Assumptions!C45+Assumptions!B46*Assumptions!C46)/12</f>
        <v>57583.3333333333</v>
      </c>
      <c r="N19" s="21" t="n">
        <f aca="false">(Assumptions!B39*Assumptions!C39+Assumptions!B40*Assumptions!C40+Assumptions!B41*Assumptions!C41+Assumptions!B42*Assumptions!C42+Assumptions!B43*Assumptions!C43+Assumptions!B44*Assumptions!C44+Assumptions!B45*Assumptions!C45+Assumptions!B46*Assumptions!C46)*(1+Assumptions!B49)</f>
        <v>711730</v>
      </c>
      <c r="O19" s="21" t="n">
        <f aca="false">N19*(1+Assumptions!B49)</f>
        <v>733081.9</v>
      </c>
      <c r="P19" s="21" t="n">
        <f aca="false">O19*(1+Assumptions!B49)</f>
        <v>755074.357</v>
      </c>
      <c r="Q19" s="21" t="n">
        <f aca="false">P19*(1+Assumptions!B49)</f>
        <v>777726.58771</v>
      </c>
    </row>
    <row r="20" customFormat="false" ht="15" hidden="false" customHeight="false" outlineLevel="0" collapsed="false">
      <c r="A20" s="18" t="s">
        <v>114</v>
      </c>
      <c r="B20" s="21" t="n">
        <f aca="false">B19*Assumptions!B48</f>
        <v>11516.6666666667</v>
      </c>
      <c r="C20" s="21" t="n">
        <f aca="false">C19*Assumptions!B48</f>
        <v>11516.6666666667</v>
      </c>
      <c r="D20" s="21" t="n">
        <f aca="false">D19*Assumptions!B48</f>
        <v>11516.6666666667</v>
      </c>
      <c r="E20" s="21" t="n">
        <f aca="false">E19*Assumptions!B48</f>
        <v>11516.6666666667</v>
      </c>
      <c r="F20" s="21" t="n">
        <f aca="false">F19*Assumptions!B48</f>
        <v>11516.6666666667</v>
      </c>
      <c r="G20" s="21" t="n">
        <f aca="false">G19*Assumptions!B48</f>
        <v>11516.6666666667</v>
      </c>
      <c r="H20" s="21" t="n">
        <f aca="false">H19*Assumptions!B48</f>
        <v>11516.6666666667</v>
      </c>
      <c r="I20" s="21" t="n">
        <f aca="false">I19*Assumptions!B48</f>
        <v>11516.6666666667</v>
      </c>
      <c r="J20" s="21" t="n">
        <f aca="false">J19*Assumptions!B48</f>
        <v>11516.6666666667</v>
      </c>
      <c r="K20" s="21" t="n">
        <f aca="false">K19*Assumptions!B48</f>
        <v>11516.6666666667</v>
      </c>
      <c r="L20" s="21" t="n">
        <f aca="false">L19*Assumptions!B48</f>
        <v>11516.6666666667</v>
      </c>
      <c r="M20" s="21" t="n">
        <f aca="false">M19*Assumptions!B48</f>
        <v>11516.6666666667</v>
      </c>
      <c r="N20" s="21" t="n">
        <f aca="false">N19*Assumptions!B48</f>
        <v>142346</v>
      </c>
      <c r="O20" s="21" t="n">
        <f aca="false">O19*Assumptions!B48</f>
        <v>146616.38</v>
      </c>
      <c r="P20" s="21" t="n">
        <f aca="false">P19*Assumptions!B48</f>
        <v>151014.8714</v>
      </c>
      <c r="Q20" s="21" t="n">
        <f aca="false">Q19*Assumptions!B48</f>
        <v>155545.317542</v>
      </c>
    </row>
    <row r="21" customFormat="false" ht="15.75" hidden="false" customHeight="true" outlineLevel="0" collapsed="false">
      <c r="A21" s="22" t="s">
        <v>115</v>
      </c>
      <c r="B21" s="23" t="n">
        <f aca="false">B19+B20</f>
        <v>69100</v>
      </c>
      <c r="C21" s="23" t="n">
        <f aca="false">C19+C20</f>
        <v>69100</v>
      </c>
      <c r="D21" s="23" t="n">
        <f aca="false">D19+D20</f>
        <v>69100</v>
      </c>
      <c r="E21" s="23" t="n">
        <f aca="false">E19+E20</f>
        <v>69100</v>
      </c>
      <c r="F21" s="23" t="n">
        <f aca="false">F19+F20</f>
        <v>69100</v>
      </c>
      <c r="G21" s="23" t="n">
        <f aca="false">G19+G20</f>
        <v>69100</v>
      </c>
      <c r="H21" s="23" t="n">
        <f aca="false">H19+H20</f>
        <v>69100</v>
      </c>
      <c r="I21" s="23" t="n">
        <f aca="false">I19+I20</f>
        <v>69100</v>
      </c>
      <c r="J21" s="23" t="n">
        <f aca="false">J19+J20</f>
        <v>69100</v>
      </c>
      <c r="K21" s="23" t="n">
        <f aca="false">K19+K20</f>
        <v>69100</v>
      </c>
      <c r="L21" s="23" t="n">
        <f aca="false">L19+L20</f>
        <v>69100</v>
      </c>
      <c r="M21" s="23" t="n">
        <f aca="false">M19+M20</f>
        <v>69100</v>
      </c>
      <c r="N21" s="23" t="n">
        <f aca="false">N19+N20</f>
        <v>854076</v>
      </c>
      <c r="O21" s="23" t="n">
        <f aca="false">O19+O20</f>
        <v>879698.28</v>
      </c>
      <c r="P21" s="23" t="n">
        <f aca="false">P19+P20</f>
        <v>906089.2284</v>
      </c>
      <c r="Q21" s="23" t="n">
        <f aca="false">Q19+Q20</f>
        <v>933271.905252</v>
      </c>
    </row>
    <row r="22" customFormat="false" ht="15.75" hidden="false" customHeight="true" outlineLevel="0" collapsed="false"/>
    <row r="23" customFormat="false" ht="15" hidden="false" customHeight="false" outlineLevel="0" collapsed="false">
      <c r="A23" s="3" t="s">
        <v>42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customFormat="false" ht="15" hidden="false" customHeight="false" outlineLevel="0" collapsed="false">
      <c r="A24" s="18" t="s">
        <v>116</v>
      </c>
      <c r="B24" s="21" t="n">
        <f aca="false">Assumptions!B52</f>
        <v>12000</v>
      </c>
      <c r="C24" s="21" t="n">
        <f aca="false">Assumptions!B52</f>
        <v>12000</v>
      </c>
      <c r="D24" s="21" t="n">
        <f aca="false">Assumptions!B52</f>
        <v>12000</v>
      </c>
      <c r="E24" s="21" t="n">
        <f aca="false">Assumptions!B52</f>
        <v>12000</v>
      </c>
      <c r="F24" s="21" t="n">
        <f aca="false">Assumptions!B52</f>
        <v>12000</v>
      </c>
      <c r="G24" s="21" t="n">
        <f aca="false">Assumptions!B52</f>
        <v>12000</v>
      </c>
      <c r="H24" s="21" t="n">
        <f aca="false">Assumptions!B52</f>
        <v>12000</v>
      </c>
      <c r="I24" s="21" t="n">
        <f aca="false">Assumptions!B52</f>
        <v>12000</v>
      </c>
      <c r="J24" s="21" t="n">
        <f aca="false">Assumptions!B52</f>
        <v>12000</v>
      </c>
      <c r="K24" s="21" t="n">
        <f aca="false">Assumptions!B52</f>
        <v>12000</v>
      </c>
      <c r="L24" s="21" t="n">
        <f aca="false">Assumptions!B52</f>
        <v>12000</v>
      </c>
      <c r="M24" s="21" t="n">
        <f aca="false">Assumptions!B52</f>
        <v>12000</v>
      </c>
      <c r="N24" s="21" t="n">
        <f aca="false">Assumptions!B52*12*(1+Assumptions!B53)</f>
        <v>148320</v>
      </c>
      <c r="O24" s="21" t="n">
        <f aca="false">N24*(1+Assumptions!B53)</f>
        <v>152769.6</v>
      </c>
      <c r="P24" s="21" t="n">
        <f aca="false">O24*(1+Assumptions!B53)</f>
        <v>157352.688</v>
      </c>
      <c r="Q24" s="21" t="n">
        <f aca="false">P24*(1+Assumptions!B53)</f>
        <v>162073.26864</v>
      </c>
    </row>
    <row r="25" customFormat="false" ht="15" hidden="false" customHeight="false" outlineLevel="0" collapsed="false">
      <c r="A25" s="18" t="s">
        <v>117</v>
      </c>
      <c r="B25" s="21" t="n">
        <f aca="false">Assumptions!B54</f>
        <v>3500</v>
      </c>
      <c r="C25" s="21" t="n">
        <f aca="false">Assumptions!B54</f>
        <v>3500</v>
      </c>
      <c r="D25" s="21" t="n">
        <f aca="false">Assumptions!B54</f>
        <v>3500</v>
      </c>
      <c r="E25" s="21" t="n">
        <f aca="false">Assumptions!B54</f>
        <v>3500</v>
      </c>
      <c r="F25" s="21" t="n">
        <f aca="false">Assumptions!B54</f>
        <v>3500</v>
      </c>
      <c r="G25" s="21" t="n">
        <f aca="false">Assumptions!B54</f>
        <v>3500</v>
      </c>
      <c r="H25" s="21" t="n">
        <f aca="false">Assumptions!B54</f>
        <v>3500</v>
      </c>
      <c r="I25" s="21" t="n">
        <f aca="false">Assumptions!B54</f>
        <v>3500</v>
      </c>
      <c r="J25" s="21" t="n">
        <f aca="false">Assumptions!B54</f>
        <v>3500</v>
      </c>
      <c r="K25" s="21" t="n">
        <f aca="false">Assumptions!B54</f>
        <v>3500</v>
      </c>
      <c r="L25" s="21" t="n">
        <f aca="false">Assumptions!B54</f>
        <v>3500</v>
      </c>
      <c r="M25" s="21" t="n">
        <f aca="false">Assumptions!B54</f>
        <v>3500</v>
      </c>
      <c r="N25" s="21" t="n">
        <f aca="false">Assumptions!B54*12</f>
        <v>42000</v>
      </c>
      <c r="O25" s="21" t="n">
        <f aca="false">N25</f>
        <v>42000</v>
      </c>
      <c r="P25" s="21" t="n">
        <f aca="false">O25</f>
        <v>42000</v>
      </c>
      <c r="Q25" s="21" t="n">
        <f aca="false">P25</f>
        <v>42000</v>
      </c>
    </row>
    <row r="26" customFormat="false" ht="15" hidden="false" customHeight="false" outlineLevel="0" collapsed="false">
      <c r="A26" s="18" t="s">
        <v>118</v>
      </c>
      <c r="B26" s="21" t="n">
        <f aca="false">Assumptions!B55</f>
        <v>1500</v>
      </c>
      <c r="C26" s="21" t="n">
        <f aca="false">Assumptions!B55</f>
        <v>1500</v>
      </c>
      <c r="D26" s="21" t="n">
        <f aca="false">Assumptions!B55</f>
        <v>1500</v>
      </c>
      <c r="E26" s="21" t="n">
        <f aca="false">Assumptions!B55</f>
        <v>1500</v>
      </c>
      <c r="F26" s="21" t="n">
        <f aca="false">Assumptions!B55</f>
        <v>1500</v>
      </c>
      <c r="G26" s="21" t="n">
        <f aca="false">Assumptions!B55</f>
        <v>1500</v>
      </c>
      <c r="H26" s="21" t="n">
        <f aca="false">Assumptions!B55</f>
        <v>1500</v>
      </c>
      <c r="I26" s="21" t="n">
        <f aca="false">Assumptions!B55</f>
        <v>1500</v>
      </c>
      <c r="J26" s="21" t="n">
        <f aca="false">Assumptions!B55</f>
        <v>1500</v>
      </c>
      <c r="K26" s="21" t="n">
        <f aca="false">Assumptions!B55</f>
        <v>1500</v>
      </c>
      <c r="L26" s="21" t="n">
        <f aca="false">Assumptions!B55</f>
        <v>1500</v>
      </c>
      <c r="M26" s="21" t="n">
        <f aca="false">Assumptions!B55</f>
        <v>1500</v>
      </c>
      <c r="N26" s="21" t="n">
        <f aca="false">Assumptions!B55*12</f>
        <v>18000</v>
      </c>
      <c r="O26" s="21" t="n">
        <f aca="false">N26</f>
        <v>18000</v>
      </c>
      <c r="P26" s="21" t="n">
        <f aca="false">O26</f>
        <v>18000</v>
      </c>
      <c r="Q26" s="21" t="n">
        <f aca="false">P26</f>
        <v>18000</v>
      </c>
    </row>
    <row r="27" customFormat="false" ht="15" hidden="false" customHeight="false" outlineLevel="0" collapsed="false">
      <c r="A27" s="18" t="s">
        <v>119</v>
      </c>
      <c r="B27" s="21" t="n">
        <f aca="false">Assumptions!B56</f>
        <v>3000</v>
      </c>
      <c r="C27" s="21" t="n">
        <f aca="false">Assumptions!B56</f>
        <v>3000</v>
      </c>
      <c r="D27" s="21" t="n">
        <f aca="false">Assumptions!B56</f>
        <v>3000</v>
      </c>
      <c r="E27" s="21" t="n">
        <f aca="false">Assumptions!B56</f>
        <v>3000</v>
      </c>
      <c r="F27" s="21" t="n">
        <f aca="false">Assumptions!B56</f>
        <v>3000</v>
      </c>
      <c r="G27" s="21" t="n">
        <f aca="false">Assumptions!B56</f>
        <v>3000</v>
      </c>
      <c r="H27" s="21" t="n">
        <f aca="false">Assumptions!B56</f>
        <v>3000</v>
      </c>
      <c r="I27" s="21" t="n">
        <f aca="false">Assumptions!B56</f>
        <v>3000</v>
      </c>
      <c r="J27" s="21" t="n">
        <f aca="false">Assumptions!B56</f>
        <v>3000</v>
      </c>
      <c r="K27" s="21" t="n">
        <f aca="false">Assumptions!B56</f>
        <v>3000</v>
      </c>
      <c r="L27" s="21" t="n">
        <f aca="false">Assumptions!B56</f>
        <v>3000</v>
      </c>
      <c r="M27" s="21" t="n">
        <f aca="false">Assumptions!B56</f>
        <v>3000</v>
      </c>
      <c r="N27" s="21" t="n">
        <f aca="false">Assumptions!B56*12</f>
        <v>36000</v>
      </c>
      <c r="O27" s="21" t="n">
        <f aca="false">N27</f>
        <v>36000</v>
      </c>
      <c r="P27" s="21" t="n">
        <f aca="false">O27</f>
        <v>36000</v>
      </c>
      <c r="Q27" s="21" t="n">
        <f aca="false">P27</f>
        <v>36000</v>
      </c>
    </row>
    <row r="28" customFormat="false" ht="15" hidden="false" customHeight="false" outlineLevel="0" collapsed="false">
      <c r="A28" s="18" t="s">
        <v>120</v>
      </c>
      <c r="B28" s="21" t="n">
        <f aca="false">Assumptions!B57</f>
        <v>1500</v>
      </c>
      <c r="C28" s="21" t="n">
        <f aca="false">Assumptions!B57</f>
        <v>1500</v>
      </c>
      <c r="D28" s="21" t="n">
        <f aca="false">Assumptions!B57</f>
        <v>1500</v>
      </c>
      <c r="E28" s="21" t="n">
        <f aca="false">Assumptions!B57</f>
        <v>1500</v>
      </c>
      <c r="F28" s="21" t="n">
        <f aca="false">Assumptions!B57</f>
        <v>1500</v>
      </c>
      <c r="G28" s="21" t="n">
        <f aca="false">Assumptions!B57</f>
        <v>1500</v>
      </c>
      <c r="H28" s="21" t="n">
        <f aca="false">Assumptions!B57</f>
        <v>1500</v>
      </c>
      <c r="I28" s="21" t="n">
        <f aca="false">Assumptions!B57</f>
        <v>1500</v>
      </c>
      <c r="J28" s="21" t="n">
        <f aca="false">Assumptions!B57</f>
        <v>1500</v>
      </c>
      <c r="K28" s="21" t="n">
        <f aca="false">Assumptions!B57</f>
        <v>1500</v>
      </c>
      <c r="L28" s="21" t="n">
        <f aca="false">Assumptions!B57</f>
        <v>1500</v>
      </c>
      <c r="M28" s="21" t="n">
        <f aca="false">Assumptions!B57</f>
        <v>1500</v>
      </c>
      <c r="N28" s="21" t="n">
        <f aca="false">Assumptions!B57*12</f>
        <v>18000</v>
      </c>
      <c r="O28" s="21" t="n">
        <f aca="false">N28</f>
        <v>18000</v>
      </c>
      <c r="P28" s="21" t="n">
        <f aca="false">O28</f>
        <v>18000</v>
      </c>
      <c r="Q28" s="21" t="n">
        <f aca="false">P28</f>
        <v>18000</v>
      </c>
    </row>
    <row r="29" customFormat="false" ht="15" hidden="false" customHeight="false" outlineLevel="0" collapsed="false">
      <c r="A29" s="18" t="s">
        <v>121</v>
      </c>
      <c r="B29" s="21" t="n">
        <f aca="false">Assumptions!B58</f>
        <v>2000</v>
      </c>
      <c r="C29" s="21" t="n">
        <f aca="false">Assumptions!B58</f>
        <v>2000</v>
      </c>
      <c r="D29" s="21" t="n">
        <f aca="false">Assumptions!B58</f>
        <v>2000</v>
      </c>
      <c r="E29" s="21" t="n">
        <f aca="false">Assumptions!B58</f>
        <v>2000</v>
      </c>
      <c r="F29" s="21" t="n">
        <f aca="false">Assumptions!B58</f>
        <v>2000</v>
      </c>
      <c r="G29" s="21" t="n">
        <f aca="false">Assumptions!B58</f>
        <v>2000</v>
      </c>
      <c r="H29" s="21" t="n">
        <f aca="false">Assumptions!B58</f>
        <v>2000</v>
      </c>
      <c r="I29" s="21" t="n">
        <f aca="false">Assumptions!B58</f>
        <v>2000</v>
      </c>
      <c r="J29" s="21" t="n">
        <f aca="false">Assumptions!B58</f>
        <v>2000</v>
      </c>
      <c r="K29" s="21" t="n">
        <f aca="false">Assumptions!B58</f>
        <v>2000</v>
      </c>
      <c r="L29" s="21" t="n">
        <f aca="false">Assumptions!B58</f>
        <v>2000</v>
      </c>
      <c r="M29" s="21" t="n">
        <f aca="false">Assumptions!B58</f>
        <v>2000</v>
      </c>
      <c r="N29" s="21" t="n">
        <f aca="false">Assumptions!B58*12</f>
        <v>24000</v>
      </c>
      <c r="O29" s="21" t="n">
        <f aca="false">N29</f>
        <v>24000</v>
      </c>
      <c r="P29" s="21" t="n">
        <f aca="false">O29</f>
        <v>24000</v>
      </c>
      <c r="Q29" s="21" t="n">
        <f aca="false">P29</f>
        <v>24000</v>
      </c>
    </row>
    <row r="30" customFormat="false" ht="15" hidden="false" customHeight="false" outlineLevel="0" collapsed="false">
      <c r="A30" s="18" t="s">
        <v>122</v>
      </c>
      <c r="B30" s="21" t="n">
        <f aca="false">Assumptions!B59</f>
        <v>800</v>
      </c>
      <c r="C30" s="21" t="n">
        <f aca="false">Assumptions!B59</f>
        <v>800</v>
      </c>
      <c r="D30" s="21" t="n">
        <f aca="false">Assumptions!B59</f>
        <v>800</v>
      </c>
      <c r="E30" s="21" t="n">
        <f aca="false">Assumptions!B59</f>
        <v>800</v>
      </c>
      <c r="F30" s="21" t="n">
        <f aca="false">Assumptions!B59</f>
        <v>800</v>
      </c>
      <c r="G30" s="21" t="n">
        <f aca="false">Assumptions!B59</f>
        <v>800</v>
      </c>
      <c r="H30" s="21" t="n">
        <f aca="false">Assumptions!B59</f>
        <v>800</v>
      </c>
      <c r="I30" s="21" t="n">
        <f aca="false">Assumptions!B59</f>
        <v>800</v>
      </c>
      <c r="J30" s="21" t="n">
        <f aca="false">Assumptions!B59</f>
        <v>800</v>
      </c>
      <c r="K30" s="21" t="n">
        <f aca="false">Assumptions!B59</f>
        <v>800</v>
      </c>
      <c r="L30" s="21" t="n">
        <f aca="false">Assumptions!B59</f>
        <v>800</v>
      </c>
      <c r="M30" s="21" t="n">
        <f aca="false">Assumptions!B59</f>
        <v>800</v>
      </c>
      <c r="N30" s="21" t="n">
        <f aca="false">Assumptions!B59*12</f>
        <v>9600</v>
      </c>
      <c r="O30" s="21" t="n">
        <f aca="false">N30</f>
        <v>9600</v>
      </c>
      <c r="P30" s="21" t="n">
        <f aca="false">O30</f>
        <v>9600</v>
      </c>
      <c r="Q30" s="21" t="n">
        <f aca="false">P30</f>
        <v>9600</v>
      </c>
    </row>
    <row r="31" customFormat="false" ht="15" hidden="false" customHeight="false" outlineLevel="0" collapsed="false">
      <c r="A31" s="18" t="s">
        <v>123</v>
      </c>
      <c r="B31" s="21" t="n">
        <f aca="false">Assumptions!B60/12</f>
        <v>416.666666666667</v>
      </c>
      <c r="C31" s="21" t="n">
        <f aca="false">Assumptions!B60/12</f>
        <v>416.666666666667</v>
      </c>
      <c r="D31" s="21" t="n">
        <f aca="false">Assumptions!B60/12</f>
        <v>416.666666666667</v>
      </c>
      <c r="E31" s="21" t="n">
        <f aca="false">Assumptions!B60/12</f>
        <v>416.666666666667</v>
      </c>
      <c r="F31" s="21" t="n">
        <f aca="false">Assumptions!B60/12</f>
        <v>416.666666666667</v>
      </c>
      <c r="G31" s="21" t="n">
        <f aca="false">Assumptions!B60/12</f>
        <v>416.666666666667</v>
      </c>
      <c r="H31" s="21" t="n">
        <f aca="false">Assumptions!B60/12</f>
        <v>416.666666666667</v>
      </c>
      <c r="I31" s="21" t="n">
        <f aca="false">Assumptions!B60/12</f>
        <v>416.666666666667</v>
      </c>
      <c r="J31" s="21" t="n">
        <f aca="false">Assumptions!B60/12</f>
        <v>416.666666666667</v>
      </c>
      <c r="K31" s="21" t="n">
        <f aca="false">Assumptions!B60/12</f>
        <v>416.666666666667</v>
      </c>
      <c r="L31" s="21" t="n">
        <f aca="false">Assumptions!B60/12</f>
        <v>416.666666666667</v>
      </c>
      <c r="M31" s="21" t="n">
        <f aca="false">Assumptions!B60/12</f>
        <v>416.666666666667</v>
      </c>
      <c r="N31" s="21" t="n">
        <f aca="false">Assumptions!B60</f>
        <v>5000</v>
      </c>
      <c r="O31" s="21" t="n">
        <f aca="false">N31</f>
        <v>5000</v>
      </c>
      <c r="P31" s="21" t="n">
        <f aca="false">O31</f>
        <v>5000</v>
      </c>
      <c r="Q31" s="21" t="n">
        <f aca="false">P31</f>
        <v>5000</v>
      </c>
    </row>
    <row r="32" customFormat="false" ht="15" hidden="false" customHeight="false" outlineLevel="0" collapsed="false">
      <c r="A32" s="18" t="s">
        <v>124</v>
      </c>
      <c r="B32" s="21" t="n">
        <f aca="false">Assumptions!B61</f>
        <v>1000</v>
      </c>
      <c r="C32" s="21" t="n">
        <f aca="false">Assumptions!B61</f>
        <v>1000</v>
      </c>
      <c r="D32" s="21" t="n">
        <f aca="false">Assumptions!B61</f>
        <v>1000</v>
      </c>
      <c r="E32" s="21" t="n">
        <f aca="false">Assumptions!B61</f>
        <v>1000</v>
      </c>
      <c r="F32" s="21" t="n">
        <f aca="false">Assumptions!B61</f>
        <v>1000</v>
      </c>
      <c r="G32" s="21" t="n">
        <f aca="false">Assumptions!B61</f>
        <v>1000</v>
      </c>
      <c r="H32" s="21" t="n">
        <f aca="false">Assumptions!B61</f>
        <v>1000</v>
      </c>
      <c r="I32" s="21" t="n">
        <f aca="false">Assumptions!B61</f>
        <v>1000</v>
      </c>
      <c r="J32" s="21" t="n">
        <f aca="false">Assumptions!B61</f>
        <v>1000</v>
      </c>
      <c r="K32" s="21" t="n">
        <f aca="false">Assumptions!B61</f>
        <v>1000</v>
      </c>
      <c r="L32" s="21" t="n">
        <f aca="false">Assumptions!B61</f>
        <v>1000</v>
      </c>
      <c r="M32" s="21" t="n">
        <f aca="false">Assumptions!B61</f>
        <v>1000</v>
      </c>
      <c r="N32" s="21" t="n">
        <f aca="false">Assumptions!B61*12</f>
        <v>12000</v>
      </c>
      <c r="O32" s="21" t="n">
        <f aca="false">N32</f>
        <v>12000</v>
      </c>
      <c r="P32" s="21" t="n">
        <f aca="false">O32</f>
        <v>12000</v>
      </c>
      <c r="Q32" s="21" t="n">
        <f aca="false">P32</f>
        <v>12000</v>
      </c>
    </row>
    <row r="33" customFormat="false" ht="15" hidden="false" customHeight="false" outlineLevel="0" collapsed="false">
      <c r="A33" s="18" t="s">
        <v>125</v>
      </c>
      <c r="B33" s="21" t="n">
        <f aca="false">Assumptions!B62</f>
        <v>1500</v>
      </c>
      <c r="C33" s="21" t="n">
        <f aca="false">Assumptions!B62</f>
        <v>1500</v>
      </c>
      <c r="D33" s="21" t="n">
        <f aca="false">Assumptions!B62</f>
        <v>1500</v>
      </c>
      <c r="E33" s="21" t="n">
        <f aca="false">Assumptions!B62</f>
        <v>1500</v>
      </c>
      <c r="F33" s="21" t="n">
        <f aca="false">Assumptions!B62</f>
        <v>1500</v>
      </c>
      <c r="G33" s="21" t="n">
        <f aca="false">Assumptions!B62</f>
        <v>1500</v>
      </c>
      <c r="H33" s="21" t="n">
        <f aca="false">Assumptions!B62</f>
        <v>1500</v>
      </c>
      <c r="I33" s="21" t="n">
        <f aca="false">Assumptions!B62</f>
        <v>1500</v>
      </c>
      <c r="J33" s="21" t="n">
        <f aca="false">Assumptions!B62</f>
        <v>1500</v>
      </c>
      <c r="K33" s="21" t="n">
        <f aca="false">Assumptions!B62</f>
        <v>1500</v>
      </c>
      <c r="L33" s="21" t="n">
        <f aca="false">Assumptions!B62</f>
        <v>1500</v>
      </c>
      <c r="M33" s="21" t="n">
        <f aca="false">Assumptions!B62</f>
        <v>1500</v>
      </c>
      <c r="N33" s="21" t="n">
        <f aca="false">Assumptions!B62*12</f>
        <v>18000</v>
      </c>
      <c r="O33" s="21" t="n">
        <f aca="false">N33</f>
        <v>18000</v>
      </c>
      <c r="P33" s="21" t="n">
        <f aca="false">O33</f>
        <v>18000</v>
      </c>
      <c r="Q33" s="21" t="n">
        <f aca="false">P33</f>
        <v>18000</v>
      </c>
    </row>
    <row r="34" customFormat="false" ht="15.75" hidden="false" customHeight="true" outlineLevel="0" collapsed="false">
      <c r="A34" s="22" t="s">
        <v>126</v>
      </c>
      <c r="B34" s="23" t="n">
        <f aca="false">SUM(B24:B33)</f>
        <v>27216.6666666667</v>
      </c>
      <c r="C34" s="23" t="n">
        <f aca="false">SUM(C24:C33)</f>
        <v>27216.6666666667</v>
      </c>
      <c r="D34" s="23" t="n">
        <f aca="false">SUM(D24:D33)</f>
        <v>27216.6666666667</v>
      </c>
      <c r="E34" s="23" t="n">
        <f aca="false">SUM(E24:E33)</f>
        <v>27216.6666666667</v>
      </c>
      <c r="F34" s="23" t="n">
        <f aca="false">SUM(F24:F33)</f>
        <v>27216.6666666667</v>
      </c>
      <c r="G34" s="23" t="n">
        <f aca="false">SUM(G24:G33)</f>
        <v>27216.6666666667</v>
      </c>
      <c r="H34" s="23" t="n">
        <f aca="false">SUM(H24:H33)</f>
        <v>27216.6666666667</v>
      </c>
      <c r="I34" s="23" t="n">
        <f aca="false">SUM(I24:I33)</f>
        <v>27216.6666666667</v>
      </c>
      <c r="J34" s="23" t="n">
        <f aca="false">SUM(J24:J33)</f>
        <v>27216.6666666667</v>
      </c>
      <c r="K34" s="23" t="n">
        <f aca="false">SUM(K24:K33)</f>
        <v>27216.6666666667</v>
      </c>
      <c r="L34" s="23" t="n">
        <f aca="false">SUM(L24:L33)</f>
        <v>27216.6666666667</v>
      </c>
      <c r="M34" s="23" t="n">
        <f aca="false">SUM(M24:M33)</f>
        <v>27216.6666666667</v>
      </c>
      <c r="N34" s="23" t="n">
        <f aca="false">SUM(N24:N33)</f>
        <v>330920</v>
      </c>
      <c r="O34" s="23" t="n">
        <f aca="false">SUM(O24:O33)</f>
        <v>335369.6</v>
      </c>
      <c r="P34" s="23" t="n">
        <f aca="false">SUM(P24:P33)</f>
        <v>339952.688</v>
      </c>
      <c r="Q34" s="23" t="n">
        <f aca="false">SUM(Q24:Q33)</f>
        <v>344673.26864</v>
      </c>
    </row>
    <row r="35" customFormat="false" ht="15.75" hidden="false" customHeight="true" outlineLevel="0" collapsed="false"/>
    <row r="36" customFormat="false" ht="15.75" hidden="false" customHeight="true" outlineLevel="0" collapsed="false">
      <c r="A36" s="22" t="s">
        <v>127</v>
      </c>
      <c r="B36" s="24" t="n">
        <f aca="false">B15-B21-B34</f>
        <v>-29761.8666666667</v>
      </c>
      <c r="C36" s="24" t="n">
        <f aca="false">C15-C21-C34</f>
        <v>-24902.2303030303</v>
      </c>
      <c r="D36" s="24" t="n">
        <f aca="false">D15-D21-D34</f>
        <v>-20042.5939393939</v>
      </c>
      <c r="E36" s="24" t="n">
        <f aca="false">E15-E21-E34</f>
        <v>-15182.9575757576</v>
      </c>
      <c r="F36" s="24" t="n">
        <f aca="false">F15-F21-F34</f>
        <v>-10323.3212121212</v>
      </c>
      <c r="G36" s="24" t="n">
        <f aca="false">G15-G21-G34</f>
        <v>-5463.68484848484</v>
      </c>
      <c r="H36" s="24" t="n">
        <f aca="false">H15-H21-H34</f>
        <v>-604.048484848488</v>
      </c>
      <c r="I36" s="24" t="n">
        <f aca="false">I15-I21-I34</f>
        <v>4255.58787878789</v>
      </c>
      <c r="J36" s="24" t="n">
        <f aca="false">J15-J21-J34</f>
        <v>9115.22424242423</v>
      </c>
      <c r="K36" s="24" t="n">
        <f aca="false">K15-K21-K34</f>
        <v>13974.8606060606</v>
      </c>
      <c r="L36" s="24" t="n">
        <f aca="false">L15-L21-L34</f>
        <v>18834.496969697</v>
      </c>
      <c r="M36" s="24" t="n">
        <f aca="false">M15-M21-M34</f>
        <v>23694.1333333333</v>
      </c>
      <c r="N36" s="24" t="n">
        <f aca="false">N15-N21-N34</f>
        <v>705798.88</v>
      </c>
      <c r="O36" s="24" t="n">
        <f aca="false">O15-O21-O34</f>
        <v>902622.3856</v>
      </c>
      <c r="P36" s="24" t="n">
        <f aca="false">P15-P21-P34</f>
        <v>1041063.570448</v>
      </c>
      <c r="Q36" s="24" t="n">
        <f aca="false">Q15-Q21-Q34</f>
        <v>1123515.5872984</v>
      </c>
    </row>
    <row r="37" customFormat="false" ht="15.75" hidden="false" customHeight="true" outlineLevel="0" collapsed="false">
      <c r="A37" s="18" t="s">
        <v>128</v>
      </c>
      <c r="B37" s="19" t="n">
        <f aca="false">IF(B7=0,0,B36/B7)</f>
        <v>-0.339437347931873</v>
      </c>
      <c r="C37" s="19" t="n">
        <f aca="false">IF(C7=0,0,C36/C7)</f>
        <v>-0.265379319253375</v>
      </c>
      <c r="D37" s="19" t="n">
        <f aca="false">IF(D7=0,0,D36/D7)</f>
        <v>-0.200440516886076</v>
      </c>
      <c r="E37" s="19" t="n">
        <f aca="false">IF(E7=0,0,E36/E7)</f>
        <v>-0.143034268553093</v>
      </c>
      <c r="F37" s="19" t="n">
        <f aca="false">IF(F7=0,0,F36/F7)</f>
        <v>-0.0919218149635194</v>
      </c>
      <c r="G37" s="19" t="n">
        <f aca="false">IF(G7=0,0,G36/G7)</f>
        <v>-0.0461219060482344</v>
      </c>
      <c r="H37" s="19" t="n">
        <f aca="false">IF(H7=0,0,H36/H7)</f>
        <v>-0.00484719385273809</v>
      </c>
      <c r="I37" s="19" t="n">
        <f aca="false">IF(I7=0,0,I36/I7)</f>
        <v>0.0325414082992707</v>
      </c>
      <c r="J37" s="19" t="n">
        <f aca="false">IF(J7=0,0,J36/J7)</f>
        <v>0.0665680546703491</v>
      </c>
      <c r="K37" s="19" t="n">
        <f aca="false">IF(K7=0,0,K36/K7)</f>
        <v>0.0976666920802732</v>
      </c>
      <c r="L37" s="19" t="n">
        <f aca="false">IF(L7=0,0,L36/L7)</f>
        <v>0.126199665383428</v>
      </c>
      <c r="M37" s="19" t="n">
        <f aca="false">IF(M7=0,0,M36/M7)</f>
        <v>0.1524719004719</v>
      </c>
      <c r="N37" s="19" t="n">
        <f aca="false">IF(N7=0,0,N36/N7)</f>
        <v>0.286630474333983</v>
      </c>
      <c r="O37" s="19" t="n">
        <f aca="false">IF(O7=0,0,O36/O7)</f>
        <v>0.327287542351249</v>
      </c>
      <c r="P37" s="19" t="n">
        <f aca="false">IF(P7=0,0,P36/P7)</f>
        <v>0.34952389307137</v>
      </c>
      <c r="Q37" s="19" t="n">
        <f aca="false">IF(Q7=0,0,Q36/Q7)</f>
        <v>0.359243916414949</v>
      </c>
    </row>
    <row r="39" customFormat="false" ht="15" hidden="false" customHeight="false" outlineLevel="0" collapsed="false">
      <c r="A39" s="3" t="s">
        <v>129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customFormat="false" ht="15" hidden="false" customHeight="false" outlineLevel="0" collapsed="false">
      <c r="A40" s="18" t="s">
        <v>130</v>
      </c>
      <c r="B40" s="21" t="n">
        <f aca="false">Assumptions!B70/12</f>
        <v>2916.66666666667</v>
      </c>
      <c r="C40" s="21" t="n">
        <f aca="false">Assumptions!B70/12</f>
        <v>2916.66666666667</v>
      </c>
      <c r="D40" s="21" t="n">
        <f aca="false">Assumptions!B70/12</f>
        <v>2916.66666666667</v>
      </c>
      <c r="E40" s="21" t="n">
        <f aca="false">Assumptions!B70/12</f>
        <v>2916.66666666667</v>
      </c>
      <c r="F40" s="21" t="n">
        <f aca="false">Assumptions!B70/12</f>
        <v>2916.66666666667</v>
      </c>
      <c r="G40" s="21" t="n">
        <f aca="false">Assumptions!B70/12</f>
        <v>2916.66666666667</v>
      </c>
      <c r="H40" s="21" t="n">
        <f aca="false">Assumptions!B70/12</f>
        <v>2916.66666666667</v>
      </c>
      <c r="I40" s="21" t="n">
        <f aca="false">Assumptions!B70/12</f>
        <v>2916.66666666667</v>
      </c>
      <c r="J40" s="21" t="n">
        <f aca="false">Assumptions!B70/12</f>
        <v>2916.66666666667</v>
      </c>
      <c r="K40" s="21" t="n">
        <f aca="false">Assumptions!B70/12</f>
        <v>2916.66666666667</v>
      </c>
      <c r="L40" s="21" t="n">
        <f aca="false">Assumptions!B70/12</f>
        <v>2916.66666666667</v>
      </c>
      <c r="M40" s="21" t="n">
        <f aca="false">Assumptions!B70/12</f>
        <v>2916.66666666667</v>
      </c>
      <c r="N40" s="21" t="n">
        <f aca="false">Assumptions!B70</f>
        <v>35000</v>
      </c>
      <c r="O40" s="21" t="n">
        <f aca="false">N40</f>
        <v>35000</v>
      </c>
      <c r="P40" s="21" t="n">
        <f aca="false">O40</f>
        <v>35000</v>
      </c>
      <c r="Q40" s="21" t="n">
        <f aca="false">P40</f>
        <v>35000</v>
      </c>
    </row>
    <row r="42" customFormat="false" ht="15.75" hidden="false" customHeight="true" outlineLevel="0" collapsed="false">
      <c r="A42" s="22" t="s">
        <v>131</v>
      </c>
      <c r="B42" s="24" t="n">
        <f aca="false">B36-B40</f>
        <v>-32678.5333333333</v>
      </c>
      <c r="C42" s="24" t="n">
        <f aca="false">C36-C40</f>
        <v>-27818.896969697</v>
      </c>
      <c r="D42" s="24" t="n">
        <f aca="false">D36-D40</f>
        <v>-22959.2606060606</v>
      </c>
      <c r="E42" s="24" t="n">
        <f aca="false">E36-E40</f>
        <v>-18099.6242424242</v>
      </c>
      <c r="F42" s="24" t="n">
        <f aca="false">F36-F40</f>
        <v>-13239.9878787879</v>
      </c>
      <c r="G42" s="24" t="n">
        <f aca="false">G36-G40</f>
        <v>-8380.35151515151</v>
      </c>
      <c r="H42" s="24" t="n">
        <f aca="false">H36-H40</f>
        <v>-3520.71515151516</v>
      </c>
      <c r="I42" s="24" t="n">
        <f aca="false">I36-I40</f>
        <v>1338.92121212123</v>
      </c>
      <c r="J42" s="24" t="n">
        <f aca="false">J36-J40</f>
        <v>6198.55757575757</v>
      </c>
      <c r="K42" s="24" t="n">
        <f aca="false">K36-K40</f>
        <v>11058.1939393939</v>
      </c>
      <c r="L42" s="24" t="n">
        <f aca="false">L36-L40</f>
        <v>15917.8303030303</v>
      </c>
      <c r="M42" s="24" t="n">
        <f aca="false">M36-M40</f>
        <v>20777.4666666667</v>
      </c>
      <c r="N42" s="24" t="n">
        <f aca="false">N36-N40</f>
        <v>670798.88</v>
      </c>
      <c r="O42" s="24" t="n">
        <f aca="false">O36-O40</f>
        <v>867622.3856</v>
      </c>
      <c r="P42" s="24" t="n">
        <f aca="false">P36-P40</f>
        <v>1006063.570448</v>
      </c>
      <c r="Q42" s="24" t="n">
        <f aca="false">Q36-Q40</f>
        <v>1088515.5872984</v>
      </c>
    </row>
    <row r="43" customFormat="false" ht="15.75" hidden="false" customHeight="true" outlineLevel="0" collapsed="false"/>
    <row r="44" customFormat="false" ht="15" hidden="false" customHeight="false" outlineLevel="0" collapsed="false">
      <c r="A44" s="3" t="s">
        <v>132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customFormat="false" ht="15" hidden="false" customHeight="false" outlineLevel="0" collapsed="false">
      <c r="A45" s="18" t="s">
        <v>133</v>
      </c>
      <c r="B45" s="21" t="n">
        <f aca="false">Assumptions!B66*Assumptions!B68/12</f>
        <v>1562.5</v>
      </c>
      <c r="C45" s="21" t="n">
        <f aca="false">Assumptions!B66*Assumptions!B68/12</f>
        <v>1562.5</v>
      </c>
      <c r="D45" s="21" t="n">
        <f aca="false">Assumptions!B66*Assumptions!B68/12</f>
        <v>1562.5</v>
      </c>
      <c r="E45" s="21" t="n">
        <f aca="false">Assumptions!B66*Assumptions!B68/12</f>
        <v>1562.5</v>
      </c>
      <c r="F45" s="21" t="n">
        <f aca="false">Assumptions!B66*Assumptions!B68/12</f>
        <v>1562.5</v>
      </c>
      <c r="G45" s="21" t="n">
        <f aca="false">Assumptions!B66*Assumptions!B68/12</f>
        <v>1562.5</v>
      </c>
      <c r="H45" s="21" t="n">
        <f aca="false">Assumptions!B66*Assumptions!B68/12</f>
        <v>1562.5</v>
      </c>
      <c r="I45" s="21" t="n">
        <f aca="false">Assumptions!B66*Assumptions!B68/12</f>
        <v>1562.5</v>
      </c>
      <c r="J45" s="21" t="n">
        <f aca="false">Assumptions!B66*Assumptions!B68/12</f>
        <v>1562.5</v>
      </c>
      <c r="K45" s="21" t="n">
        <f aca="false">Assumptions!B66*Assumptions!B68/12</f>
        <v>1562.5</v>
      </c>
      <c r="L45" s="21" t="n">
        <f aca="false">Assumptions!B66*Assumptions!B68/12</f>
        <v>1562.5</v>
      </c>
      <c r="M45" s="21" t="n">
        <f aca="false">Assumptions!B66*Assumptions!B68/12</f>
        <v>1562.5</v>
      </c>
      <c r="N45" s="21" t="n">
        <f aca="false">Assumptions!B66*Assumptions!B68</f>
        <v>18750</v>
      </c>
      <c r="O45" s="21" t="n">
        <f aca="false">N45</f>
        <v>18750</v>
      </c>
      <c r="P45" s="21" t="n">
        <f aca="false">O45</f>
        <v>18750</v>
      </c>
      <c r="Q45" s="21" t="n">
        <f aca="false">P45</f>
        <v>18750</v>
      </c>
    </row>
    <row r="47" customFormat="false" ht="15.75" hidden="false" customHeight="true" outlineLevel="0" collapsed="false">
      <c r="A47" s="22" t="s">
        <v>134</v>
      </c>
      <c r="B47" s="24" t="n">
        <f aca="false">B42-B45</f>
        <v>-34241.0333333333</v>
      </c>
      <c r="C47" s="24" t="n">
        <f aca="false">C42-C45</f>
        <v>-29381.396969697</v>
      </c>
      <c r="D47" s="24" t="n">
        <f aca="false">D42-D45</f>
        <v>-24521.7606060606</v>
      </c>
      <c r="E47" s="24" t="n">
        <f aca="false">E42-E45</f>
        <v>-19662.1242424242</v>
      </c>
      <c r="F47" s="24" t="n">
        <f aca="false">F42-F45</f>
        <v>-14802.4878787879</v>
      </c>
      <c r="G47" s="24" t="n">
        <f aca="false">G42-G45</f>
        <v>-9942.85151515151</v>
      </c>
      <c r="H47" s="24" t="n">
        <f aca="false">H42-H45</f>
        <v>-5083.21515151515</v>
      </c>
      <c r="I47" s="24" t="n">
        <f aca="false">I42-I45</f>
        <v>-223.578787878773</v>
      </c>
      <c r="J47" s="24" t="n">
        <f aca="false">J42-J45</f>
        <v>4636.05757575757</v>
      </c>
      <c r="K47" s="24" t="n">
        <f aca="false">K42-K45</f>
        <v>9495.69393939395</v>
      </c>
      <c r="L47" s="24" t="n">
        <f aca="false">L42-L45</f>
        <v>14355.3303030303</v>
      </c>
      <c r="M47" s="24" t="n">
        <f aca="false">M42-M45</f>
        <v>19214.9666666667</v>
      </c>
      <c r="N47" s="24" t="n">
        <f aca="false">N42-N45</f>
        <v>652048.88</v>
      </c>
      <c r="O47" s="24" t="n">
        <f aca="false">O42-O45</f>
        <v>848872.3856</v>
      </c>
      <c r="P47" s="24" t="n">
        <f aca="false">P42-P45</f>
        <v>987313.570448</v>
      </c>
      <c r="Q47" s="24" t="n">
        <f aca="false">Q42-Q45</f>
        <v>1069765.5872984</v>
      </c>
    </row>
    <row r="48" customFormat="false" ht="15.75" hidden="false" customHeight="true" outlineLevel="0" collapsed="false"/>
    <row r="49" customFormat="false" ht="15" hidden="false" customHeight="false" outlineLevel="0" collapsed="false">
      <c r="A49" s="18" t="s">
        <v>135</v>
      </c>
      <c r="B49" s="21" t="n">
        <f aca="false">IF(B47&gt;0,B47*Assumptions!B73,0)</f>
        <v>0</v>
      </c>
      <c r="C49" s="21" t="n">
        <f aca="false">IF(C47&gt;0,C47*Assumptions!B73,0)</f>
        <v>0</v>
      </c>
      <c r="D49" s="21" t="n">
        <f aca="false">IF(D47&gt;0,D47*Assumptions!B73,0)</f>
        <v>0</v>
      </c>
      <c r="E49" s="21" t="n">
        <f aca="false">IF(E47&gt;0,E47*Assumptions!B73,0)</f>
        <v>0</v>
      </c>
      <c r="F49" s="21" t="n">
        <f aca="false">IF(F47&gt;0,F47*Assumptions!B73,0)</f>
        <v>0</v>
      </c>
      <c r="G49" s="21" t="n">
        <f aca="false">IF(G47&gt;0,G47*Assumptions!B73,0)</f>
        <v>0</v>
      </c>
      <c r="H49" s="21" t="n">
        <f aca="false">IF(H47&gt;0,H47*Assumptions!B73,0)</f>
        <v>0</v>
      </c>
      <c r="I49" s="21" t="n">
        <f aca="false">IF(I47&gt;0,I47*Assumptions!B73,0)</f>
        <v>0</v>
      </c>
      <c r="J49" s="21" t="n">
        <f aca="false">IF(J47&gt;0,J47*Assumptions!B73,0)</f>
        <v>1159.01439393939</v>
      </c>
      <c r="K49" s="21" t="n">
        <f aca="false">IF(K47&gt;0,K47*Assumptions!B73,0)</f>
        <v>2373.92348484849</v>
      </c>
      <c r="L49" s="21" t="n">
        <f aca="false">IF(L47&gt;0,L47*Assumptions!B73,0)</f>
        <v>3588.83257575757</v>
      </c>
      <c r="M49" s="21" t="n">
        <f aca="false">IF(M47&gt;0,M47*Assumptions!B73,0)</f>
        <v>4803.74166666667</v>
      </c>
      <c r="N49" s="21" t="n">
        <f aca="false">IF(N47&gt;0,N47*Assumptions!B73,0)</f>
        <v>163012.22</v>
      </c>
      <c r="O49" s="21" t="n">
        <f aca="false">IF(O47&gt;0,O47*Assumptions!B73,0)</f>
        <v>212218.0964</v>
      </c>
      <c r="P49" s="21" t="n">
        <f aca="false">IF(P47&gt;0,P47*Assumptions!B73,0)</f>
        <v>246828.392612</v>
      </c>
      <c r="Q49" s="21" t="n">
        <f aca="false">IF(Q47&gt;0,Q47*Assumptions!B73,0)</f>
        <v>267441.3968246</v>
      </c>
    </row>
    <row r="51" customFormat="false" ht="15.75" hidden="false" customHeight="true" outlineLevel="0" collapsed="false">
      <c r="A51" s="22" t="s">
        <v>136</v>
      </c>
      <c r="B51" s="24" t="n">
        <f aca="false">B47-B49</f>
        <v>-34241.0333333333</v>
      </c>
      <c r="C51" s="24" t="n">
        <f aca="false">C47-C49</f>
        <v>-29381.396969697</v>
      </c>
      <c r="D51" s="24" t="n">
        <f aca="false">D47-D49</f>
        <v>-24521.7606060606</v>
      </c>
      <c r="E51" s="24" t="n">
        <f aca="false">E47-E49</f>
        <v>-19662.1242424242</v>
      </c>
      <c r="F51" s="24" t="n">
        <f aca="false">F47-F49</f>
        <v>-14802.4878787879</v>
      </c>
      <c r="G51" s="24" t="n">
        <f aca="false">G47-G49</f>
        <v>-9942.85151515151</v>
      </c>
      <c r="H51" s="24" t="n">
        <f aca="false">H47-H49</f>
        <v>-5083.21515151515</v>
      </c>
      <c r="I51" s="24" t="n">
        <f aca="false">I47-I49</f>
        <v>-223.578787878773</v>
      </c>
      <c r="J51" s="24" t="n">
        <f aca="false">J47-J49</f>
        <v>3477.04318181817</v>
      </c>
      <c r="K51" s="24" t="n">
        <f aca="false">K47-K49</f>
        <v>7121.77045454546</v>
      </c>
      <c r="L51" s="24" t="n">
        <f aca="false">L47-L49</f>
        <v>10766.4977272727</v>
      </c>
      <c r="M51" s="24" t="n">
        <f aca="false">M47-M49</f>
        <v>14411.225</v>
      </c>
      <c r="N51" s="24" t="n">
        <f aca="false">N47-N49</f>
        <v>489036.66</v>
      </c>
      <c r="O51" s="24" t="n">
        <f aca="false">O47-O49</f>
        <v>636654.2892</v>
      </c>
      <c r="P51" s="24" t="n">
        <f aca="false">P47-P49</f>
        <v>740485.177836</v>
      </c>
      <c r="Q51" s="24" t="n">
        <f aca="false">Q47-Q49</f>
        <v>802324.1904738</v>
      </c>
    </row>
    <row r="52" customFormat="false" ht="15.75" hidden="false" customHeight="true" outlineLevel="0" collapsed="false">
      <c r="A52" s="18" t="s">
        <v>137</v>
      </c>
      <c r="B52" s="19" t="n">
        <f aca="false">IF(B7=0,0,B51/B7)</f>
        <v>-0.390522734184915</v>
      </c>
      <c r="C52" s="19" t="n">
        <f aca="false">IF(C7=0,0,C51/C7)</f>
        <v>-0.313113124071562</v>
      </c>
      <c r="D52" s="19" t="n">
        <f aca="false">IF(D7=0,0,D51/D7)</f>
        <v>-0.245235441365432</v>
      </c>
      <c r="E52" s="19" t="n">
        <f aca="false">IF(E7=0,0,E51/E7)</f>
        <v>-0.185231207107213</v>
      </c>
      <c r="F52" s="19" t="n">
        <f aca="false">IF(F7=0,0,F51/F7)</f>
        <v>-0.131805600526702</v>
      </c>
      <c r="G52" s="19" t="n">
        <f aca="false">IF(G7=0,0,G51/G7)</f>
        <v>-0.0839329639520725</v>
      </c>
      <c r="H52" s="19" t="n">
        <f aca="false">IF(H7=0,0,H51/H7)</f>
        <v>-0.0407903170897773</v>
      </c>
      <c r="I52" s="19" t="n">
        <f aca="false">IF(I7=0,0,I51/I7)</f>
        <v>-0.00170965065947397</v>
      </c>
      <c r="J52" s="19" t="n">
        <f aca="false">IF(J7=0,0,J51/J7)</f>
        <v>0.02539268310495</v>
      </c>
      <c r="K52" s="19" t="n">
        <f aca="false">IF(K7=0,0,K51/K7)</f>
        <v>0.0497722146687337</v>
      </c>
      <c r="L52" s="19" t="n">
        <f aca="false">IF(L7=0,0,L51/L7)</f>
        <v>0.0721404140880073</v>
      </c>
      <c r="M52" s="19" t="n">
        <f aca="false">IF(M7=0,0,M51/M7)</f>
        <v>0.0927363256113256</v>
      </c>
      <c r="N52" s="19" t="n">
        <f aca="false">IF(N7=0,0,N51/N7)</f>
        <v>0.198601632553606</v>
      </c>
      <c r="O52" s="19" t="n">
        <f aca="false">IF(O7=0,0,O51/O7)</f>
        <v>0.230848493194793</v>
      </c>
      <c r="P52" s="19" t="n">
        <f aca="false">IF(P7=0,0,P51/P7)</f>
        <v>0.24860850909182</v>
      </c>
      <c r="Q52" s="19" t="n">
        <f aca="false">IF(Q7=0,0,Q51/Q7)</f>
        <v>0.256543022347681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Q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8359375" defaultRowHeight="15" customHeight="false" zeroHeight="false" outlineLevelRow="0" outlineLevelCol="0"/>
  <cols>
    <col collapsed="false" customWidth="true" hidden="false" outlineLevel="0" max="1" min="1" style="1" width="41.66"/>
    <col collapsed="false" customWidth="true" hidden="false" outlineLevel="0" max="17" min="2" style="1" width="18.33"/>
    <col collapsed="false" customWidth="false" hidden="false" outlineLevel="0" max="16384" min="18" style="1" width="10.83"/>
  </cols>
  <sheetData>
    <row r="1" customFormat="false" ht="30" hidden="false" customHeight="true" outlineLevel="0" collapsed="false">
      <c r="A1" s="17" t="s">
        <v>138</v>
      </c>
      <c r="B1" s="17" t="s">
        <v>68</v>
      </c>
      <c r="C1" s="17" t="s">
        <v>69</v>
      </c>
      <c r="D1" s="17" t="s">
        <v>70</v>
      </c>
      <c r="E1" s="17" t="s">
        <v>71</v>
      </c>
      <c r="F1" s="17" t="s">
        <v>72</v>
      </c>
      <c r="G1" s="17" t="s">
        <v>73</v>
      </c>
      <c r="H1" s="17" t="s">
        <v>74</v>
      </c>
      <c r="I1" s="17" t="s">
        <v>75</v>
      </c>
      <c r="J1" s="17" t="s">
        <v>76</v>
      </c>
      <c r="K1" s="17" t="s">
        <v>77</v>
      </c>
      <c r="L1" s="17" t="s">
        <v>78</v>
      </c>
      <c r="M1" s="17" t="s">
        <v>79</v>
      </c>
      <c r="N1" s="17" t="s">
        <v>80</v>
      </c>
      <c r="O1" s="17" t="s">
        <v>81</v>
      </c>
      <c r="P1" s="17" t="s">
        <v>82</v>
      </c>
      <c r="Q1" s="17" t="s">
        <v>83</v>
      </c>
    </row>
    <row r="3" customFormat="false" ht="15" hidden="false" customHeight="false" outlineLevel="0" collapsed="false">
      <c r="A3" s="3" t="s">
        <v>139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Format="false" ht="15" hidden="false" customHeight="false" outlineLevel="0" collapsed="false">
      <c r="A4" s="18" t="s">
        <v>140</v>
      </c>
      <c r="B4" s="21" t="n">
        <f aca="false">'P&amp;L Projection'!B51</f>
        <v>-34241.0333333333</v>
      </c>
      <c r="C4" s="21" t="n">
        <f aca="false">'P&amp;L Projection'!C51</f>
        <v>-29381.396969697</v>
      </c>
      <c r="D4" s="21" t="n">
        <f aca="false">'P&amp;L Projection'!D51</f>
        <v>-24521.7606060606</v>
      </c>
      <c r="E4" s="21" t="n">
        <f aca="false">'P&amp;L Projection'!E51</f>
        <v>-19662.1242424242</v>
      </c>
      <c r="F4" s="21" t="n">
        <f aca="false">'P&amp;L Projection'!F51</f>
        <v>-14802.4878787879</v>
      </c>
      <c r="G4" s="21" t="n">
        <f aca="false">'P&amp;L Projection'!G51</f>
        <v>-9942.85151515151</v>
      </c>
      <c r="H4" s="21" t="n">
        <f aca="false">'P&amp;L Projection'!H51</f>
        <v>-5083.21515151515</v>
      </c>
      <c r="I4" s="21" t="n">
        <f aca="false">'P&amp;L Projection'!I51</f>
        <v>-223.578787878773</v>
      </c>
      <c r="J4" s="21" t="n">
        <f aca="false">'P&amp;L Projection'!J51</f>
        <v>3477.04318181817</v>
      </c>
      <c r="K4" s="21" t="n">
        <f aca="false">'P&amp;L Projection'!K51</f>
        <v>7121.77045454546</v>
      </c>
      <c r="L4" s="21" t="n">
        <f aca="false">'P&amp;L Projection'!L51</f>
        <v>10766.4977272727</v>
      </c>
      <c r="M4" s="21" t="n">
        <f aca="false">'P&amp;L Projection'!M51</f>
        <v>14411.225</v>
      </c>
      <c r="N4" s="21" t="n">
        <f aca="false">'P&amp;L Projection'!N51</f>
        <v>489036.66</v>
      </c>
      <c r="O4" s="21" t="n">
        <f aca="false">'P&amp;L Projection'!O51</f>
        <v>636654.2892</v>
      </c>
      <c r="P4" s="21" t="n">
        <f aca="false">'P&amp;L Projection'!P51</f>
        <v>740485.177836</v>
      </c>
      <c r="Q4" s="21" t="n">
        <f aca="false">'P&amp;L Projection'!Q51</f>
        <v>802324.1904738</v>
      </c>
    </row>
    <row r="5" customFormat="false" ht="15" hidden="false" customHeight="false" outlineLevel="0" collapsed="false">
      <c r="A5" s="18" t="s">
        <v>141</v>
      </c>
      <c r="B5" s="21" t="n">
        <f aca="false">'P&amp;L Projection'!B40</f>
        <v>2916.66666666667</v>
      </c>
      <c r="C5" s="21" t="n">
        <f aca="false">'P&amp;L Projection'!C40</f>
        <v>2916.66666666667</v>
      </c>
      <c r="D5" s="21" t="n">
        <f aca="false">'P&amp;L Projection'!D40</f>
        <v>2916.66666666667</v>
      </c>
      <c r="E5" s="21" t="n">
        <f aca="false">'P&amp;L Projection'!E40</f>
        <v>2916.66666666667</v>
      </c>
      <c r="F5" s="21" t="n">
        <f aca="false">'P&amp;L Projection'!F40</f>
        <v>2916.66666666667</v>
      </c>
      <c r="G5" s="21" t="n">
        <f aca="false">'P&amp;L Projection'!G40</f>
        <v>2916.66666666667</v>
      </c>
      <c r="H5" s="21" t="n">
        <f aca="false">'P&amp;L Projection'!H40</f>
        <v>2916.66666666667</v>
      </c>
      <c r="I5" s="21" t="n">
        <f aca="false">'P&amp;L Projection'!I40</f>
        <v>2916.66666666667</v>
      </c>
      <c r="J5" s="21" t="n">
        <f aca="false">'P&amp;L Projection'!J40</f>
        <v>2916.66666666667</v>
      </c>
      <c r="K5" s="21" t="n">
        <f aca="false">'P&amp;L Projection'!K40</f>
        <v>2916.66666666667</v>
      </c>
      <c r="L5" s="21" t="n">
        <f aca="false">'P&amp;L Projection'!L40</f>
        <v>2916.66666666667</v>
      </c>
      <c r="M5" s="21" t="n">
        <f aca="false">'P&amp;L Projection'!M40</f>
        <v>2916.66666666667</v>
      </c>
      <c r="N5" s="21" t="n">
        <f aca="false">'P&amp;L Projection'!N40</f>
        <v>35000</v>
      </c>
      <c r="O5" s="21" t="n">
        <f aca="false">'P&amp;L Projection'!O40</f>
        <v>35000</v>
      </c>
      <c r="P5" s="21" t="n">
        <f aca="false">'P&amp;L Projection'!P40</f>
        <v>35000</v>
      </c>
      <c r="Q5" s="21" t="n">
        <f aca="false">'P&amp;L Projection'!Q40</f>
        <v>35000</v>
      </c>
    </row>
    <row r="7" customFormat="false" ht="15" hidden="false" customHeight="false" outlineLevel="0" collapsed="false">
      <c r="A7" s="3" t="s">
        <v>142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customFormat="false" ht="15" hidden="false" customHeight="false" outlineLevel="0" collapsed="false">
      <c r="A8" s="18" t="s">
        <v>143</v>
      </c>
      <c r="B8" s="21" t="n">
        <f aca="false">-'P&amp;L Projection'!B7*Assumptions!B74/30</f>
        <v>-14613.3333333333</v>
      </c>
      <c r="C8" s="21" t="n">
        <f aca="false">-('P&amp;L Projection'!C7-'P&amp;L Projection'!B7)*Assumptions!B74/30</f>
        <v>-1026.06060606061</v>
      </c>
      <c r="D8" s="21" t="n">
        <f aca="false">-('P&amp;L Projection'!D7-'P&amp;L Projection'!C7)*Assumptions!B74/30</f>
        <v>-1026.06060606061</v>
      </c>
      <c r="E8" s="21" t="n">
        <f aca="false">-('P&amp;L Projection'!E7-'P&amp;L Projection'!D7)*Assumptions!B74/30</f>
        <v>-1026.0606060606</v>
      </c>
      <c r="F8" s="21" t="n">
        <f aca="false">-('P&amp;L Projection'!F7-'P&amp;L Projection'!E7)*Assumptions!B74/30</f>
        <v>-1026.06060606061</v>
      </c>
      <c r="G8" s="21" t="n">
        <f aca="false">-('P&amp;L Projection'!G7-'P&amp;L Projection'!F7)*Assumptions!B74/30</f>
        <v>-1026.06060606061</v>
      </c>
      <c r="H8" s="21" t="n">
        <f aca="false">-('P&amp;L Projection'!H7-'P&amp;L Projection'!G7)*Assumptions!B74/30</f>
        <v>-1026.0606060606</v>
      </c>
      <c r="I8" s="21" t="n">
        <f aca="false">-('P&amp;L Projection'!I7-'P&amp;L Projection'!H7)*Assumptions!B74/30</f>
        <v>-1026.06060606061</v>
      </c>
      <c r="J8" s="21" t="n">
        <f aca="false">-('P&amp;L Projection'!J7-'P&amp;L Projection'!I7)*Assumptions!B74/30</f>
        <v>-1026.0606060606</v>
      </c>
      <c r="K8" s="21" t="n">
        <f aca="false">-('P&amp;L Projection'!K7-'P&amp;L Projection'!J7)*Assumptions!B74/30</f>
        <v>-1026.06060606061</v>
      </c>
      <c r="L8" s="21" t="n">
        <f aca="false">-('P&amp;L Projection'!L7-'P&amp;L Projection'!K7)*Assumptions!B74/30</f>
        <v>-1026.0606060606</v>
      </c>
      <c r="M8" s="21" t="n">
        <f aca="false">-('P&amp;L Projection'!M7-'P&amp;L Projection'!L7)*Assumptions!B74/30</f>
        <v>-1026.06060606061</v>
      </c>
      <c r="N8" s="21" t="n">
        <f aca="false">-(N4*12-SUM(B4:M4))*Assumptions!B74/365</f>
        <v>-81787.9703030303</v>
      </c>
      <c r="O8" s="21" t="n">
        <f aca="false">-(O4-N4)*12*Assumptions!B74/365</f>
        <v>-24265.9116493151</v>
      </c>
      <c r="P8" s="21" t="n">
        <f aca="false">-(P4-O4)*12*Assumptions!B74/365</f>
        <v>-17068.0912826302</v>
      </c>
      <c r="Q8" s="21" t="n">
        <f aca="false">-(Q4-P4)*12*Assumptions!B74/365</f>
        <v>-10165.3171459397</v>
      </c>
    </row>
    <row r="9" customFormat="false" ht="15" hidden="false" customHeight="false" outlineLevel="0" collapsed="false">
      <c r="A9" s="18" t="s">
        <v>144</v>
      </c>
      <c r="B9" s="21" t="n">
        <f aca="false">-'P&amp;L Projection'!B13*Assumptions!B76/30</f>
        <v>-4929.21333333333</v>
      </c>
      <c r="C9" s="21" t="n">
        <f aca="false">-('P&amp;L Projection'!C13-'P&amp;L Projection'!B13)*Assumptions!B76/30</f>
        <v>-302.569696969696</v>
      </c>
      <c r="D9" s="21" t="n">
        <f aca="false">-('P&amp;L Projection'!D13-'P&amp;L Projection'!C13)*Assumptions!B76/30</f>
        <v>-302.569696969698</v>
      </c>
      <c r="E9" s="21" t="n">
        <f aca="false">-('P&amp;L Projection'!E13-'P&amp;L Projection'!D13)*Assumptions!B76/30</f>
        <v>-302.569696969698</v>
      </c>
      <c r="F9" s="21" t="n">
        <f aca="false">-('P&amp;L Projection'!F13-'P&amp;L Projection'!E13)*Assumptions!B76/30</f>
        <v>-302.569696969697</v>
      </c>
      <c r="G9" s="21" t="n">
        <f aca="false">-('P&amp;L Projection'!G13-'P&amp;L Projection'!F13)*Assumptions!B76/30</f>
        <v>-302.569696969697</v>
      </c>
      <c r="H9" s="21" t="n">
        <f aca="false">-('P&amp;L Projection'!H13-'P&amp;L Projection'!G13)*Assumptions!B76/30</f>
        <v>-302.569696969696</v>
      </c>
      <c r="I9" s="21" t="n">
        <f aca="false">-('P&amp;L Projection'!I13-'P&amp;L Projection'!H13)*Assumptions!B76/30</f>
        <v>-302.569696969699</v>
      </c>
      <c r="J9" s="21" t="n">
        <f aca="false">-('P&amp;L Projection'!J13-'P&amp;L Projection'!I13)*Assumptions!B76/30</f>
        <v>-302.569696969697</v>
      </c>
      <c r="K9" s="21" t="n">
        <f aca="false">-('P&amp;L Projection'!K13-'P&amp;L Projection'!J13)*Assumptions!B76/30</f>
        <v>-302.569696969696</v>
      </c>
      <c r="L9" s="21" t="n">
        <f aca="false">-('P&amp;L Projection'!L13-'P&amp;L Projection'!K13)*Assumptions!B76/30</f>
        <v>-302.569696969699</v>
      </c>
      <c r="M9" s="21" t="n">
        <f aca="false">-('P&amp;L Projection'!M13-'P&amp;L Projection'!L13)*Assumptions!B76/30</f>
        <v>-302.569696969695</v>
      </c>
      <c r="N9" s="21" t="n">
        <f aca="false">-('P&amp;L Projection'!N13-'P&amp;L Projection'!M13*12)*Assumptions!B76/365</f>
        <v>-2817.9261369863</v>
      </c>
      <c r="O9" s="21" t="n">
        <f aca="false">-('P&amp;L Projection'!O13-'P&amp;L Projection'!N13)*Assumptions!B76/365</f>
        <v>-1315.47479671233</v>
      </c>
      <c r="P9" s="21" t="n">
        <f aca="false">-('P&amp;L Projection'!P13-'P&amp;L Projection'!O13)*Assumptions!B76/365</f>
        <v>-982.221181545208</v>
      </c>
      <c r="Q9" s="21" t="n">
        <f aca="false">-('P&amp;L Projection'!Q13-'P&amp;L Projection'!P13)*Assumptions!B76/365</f>
        <v>-662.999297543014</v>
      </c>
    </row>
    <row r="10" customFormat="false" ht="15" hidden="false" customHeight="false" outlineLevel="0" collapsed="false">
      <c r="A10" s="18" t="s">
        <v>145</v>
      </c>
      <c r="B10" s="21" t="n">
        <f aca="false">'P&amp;L Projection'!B13*Assumptions!B75/30</f>
        <v>21125.2</v>
      </c>
      <c r="C10" s="21" t="n">
        <f aca="false">('P&amp;L Projection'!C13-'P&amp;L Projection'!B13)*Assumptions!B75/30</f>
        <v>1296.72727272727</v>
      </c>
      <c r="D10" s="21" t="n">
        <f aca="false">('P&amp;L Projection'!D13-'P&amp;L Projection'!C13)*Assumptions!B75/30</f>
        <v>1296.72727272728</v>
      </c>
      <c r="E10" s="21" t="n">
        <f aca="false">('P&amp;L Projection'!E13-'P&amp;L Projection'!D13)*Assumptions!B75/30</f>
        <v>1296.72727272728</v>
      </c>
      <c r="F10" s="21" t="n">
        <f aca="false">('P&amp;L Projection'!F13-'P&amp;L Projection'!E13)*Assumptions!B75/30</f>
        <v>1296.72727272727</v>
      </c>
      <c r="G10" s="21" t="n">
        <f aca="false">('P&amp;L Projection'!G13-'P&amp;L Projection'!F13)*Assumptions!B75/30</f>
        <v>1296.72727272727</v>
      </c>
      <c r="H10" s="21" t="n">
        <f aca="false">('P&amp;L Projection'!H13-'P&amp;L Projection'!G13)*Assumptions!B75/30</f>
        <v>1296.72727272727</v>
      </c>
      <c r="I10" s="21" t="n">
        <f aca="false">('P&amp;L Projection'!I13-'P&amp;L Projection'!H13)*Assumptions!B75/30</f>
        <v>1296.72727272728</v>
      </c>
      <c r="J10" s="21" t="n">
        <f aca="false">('P&amp;L Projection'!J13-'P&amp;L Projection'!I13)*Assumptions!B75/30</f>
        <v>1296.72727272727</v>
      </c>
      <c r="K10" s="21" t="n">
        <f aca="false">('P&amp;L Projection'!K13-'P&amp;L Projection'!J13)*Assumptions!B75/30</f>
        <v>1296.72727272727</v>
      </c>
      <c r="L10" s="21" t="n">
        <f aca="false">('P&amp;L Projection'!L13-'P&amp;L Projection'!K13)*Assumptions!B75/30</f>
        <v>1296.72727272728</v>
      </c>
      <c r="M10" s="21" t="n">
        <f aca="false">('P&amp;L Projection'!M13-'P&amp;L Projection'!L13)*Assumptions!B75/30</f>
        <v>1296.72727272726</v>
      </c>
      <c r="N10" s="21" t="n">
        <f aca="false">('P&amp;L Projection'!N13-'P&amp;L Projection'!M13*12)*Assumptions!B75/365</f>
        <v>12076.8263013699</v>
      </c>
      <c r="O10" s="21" t="n">
        <f aca="false">('P&amp;L Projection'!O13-'P&amp;L Projection'!N13)*Assumptions!B75/365</f>
        <v>5637.74912876712</v>
      </c>
      <c r="P10" s="21" t="n">
        <f aca="false">('P&amp;L Projection'!P13-'P&amp;L Projection'!O13)*Assumptions!B75/365</f>
        <v>4209.51934947946</v>
      </c>
      <c r="Q10" s="21" t="n">
        <f aca="false">('P&amp;L Projection'!Q13-'P&amp;L Projection'!P13)*Assumptions!B75/365</f>
        <v>2841.42556089863</v>
      </c>
    </row>
    <row r="11" customFormat="false" ht="15.75" hidden="false" customHeight="true" outlineLevel="0" collapsed="false">
      <c r="A11" s="22" t="s">
        <v>146</v>
      </c>
      <c r="B11" s="23" t="n">
        <f aca="false">B8+B9+B10</f>
        <v>1582.65333333333</v>
      </c>
      <c r="C11" s="23" t="n">
        <f aca="false">C8+C9+C10</f>
        <v>-31.9030303030329</v>
      </c>
      <c r="D11" s="23" t="n">
        <f aca="false">D8+D9+D10</f>
        <v>-31.9030303030322</v>
      </c>
      <c r="E11" s="23" t="n">
        <f aca="false">E8+E9+E10</f>
        <v>-31.9030303030249</v>
      </c>
      <c r="F11" s="23" t="n">
        <f aca="false">F8+F9+F10</f>
        <v>-31.9030303030299</v>
      </c>
      <c r="G11" s="23" t="n">
        <f aca="false">G8+G9+G10</f>
        <v>-31.9030303030327</v>
      </c>
      <c r="H11" s="23" t="n">
        <f aca="false">H8+H9+H10</f>
        <v>-31.9030303030306</v>
      </c>
      <c r="I11" s="23" t="n">
        <f aca="false">I8+I9+I10</f>
        <v>-31.9030303030295</v>
      </c>
      <c r="J11" s="23" t="n">
        <f aca="false">J8+J9+J10</f>
        <v>-31.9030303030277</v>
      </c>
      <c r="K11" s="23" t="n">
        <f aca="false">K8+K9+K10</f>
        <v>-31.9030303030354</v>
      </c>
      <c r="L11" s="23" t="n">
        <f aca="false">L8+L9+L10</f>
        <v>-31.9030303030222</v>
      </c>
      <c r="M11" s="23" t="n">
        <f aca="false">M8+M9+M10</f>
        <v>-31.9030303030381</v>
      </c>
      <c r="N11" s="23" t="n">
        <f aca="false">N8+N9+N10</f>
        <v>-72529.0701386467</v>
      </c>
      <c r="O11" s="23" t="n">
        <f aca="false">O8+O9+O10</f>
        <v>-19943.6373172603</v>
      </c>
      <c r="P11" s="23" t="n">
        <f aca="false">P8+P9+P10</f>
        <v>-13840.7931146959</v>
      </c>
      <c r="Q11" s="23" t="n">
        <f aca="false">Q8+Q9+Q10</f>
        <v>-7986.8908825841</v>
      </c>
    </row>
    <row r="12" customFormat="false" ht="15.75" hidden="false" customHeight="true" outlineLevel="0" collapsed="false"/>
    <row r="13" customFormat="false" ht="15.75" hidden="false" customHeight="true" outlineLevel="0" collapsed="false">
      <c r="A13" s="22" t="s">
        <v>147</v>
      </c>
      <c r="B13" s="23" t="n">
        <f aca="false">B4+B5+B11</f>
        <v>-29741.7133333333</v>
      </c>
      <c r="C13" s="23" t="n">
        <f aca="false">C4+C5+C11</f>
        <v>-26496.6333333333</v>
      </c>
      <c r="D13" s="23" t="n">
        <f aca="false">D4+D5+D11</f>
        <v>-21636.996969697</v>
      </c>
      <c r="E13" s="23" t="n">
        <f aca="false">E4+E5+E11</f>
        <v>-16777.3606060606</v>
      </c>
      <c r="F13" s="23" t="n">
        <f aca="false">F4+F5+F11</f>
        <v>-11917.7242424242</v>
      </c>
      <c r="G13" s="23" t="n">
        <f aca="false">G4+G5+G11</f>
        <v>-7058.08787878787</v>
      </c>
      <c r="H13" s="23" t="n">
        <f aca="false">H4+H5+H11</f>
        <v>-2198.45151515152</v>
      </c>
      <c r="I13" s="23" t="n">
        <f aca="false">I4+I5+I11</f>
        <v>2661.18484848486</v>
      </c>
      <c r="J13" s="23" t="n">
        <f aca="false">J4+J5+J11</f>
        <v>6361.80681818181</v>
      </c>
      <c r="K13" s="23" t="n">
        <f aca="false">K4+K5+K11</f>
        <v>10006.5340909091</v>
      </c>
      <c r="L13" s="23" t="n">
        <f aca="false">L4+L5+L11</f>
        <v>13651.2613636364</v>
      </c>
      <c r="M13" s="23" t="n">
        <f aca="false">M4+M5+M11</f>
        <v>17295.9886363636</v>
      </c>
      <c r="N13" s="23" t="n">
        <f aca="false">N4+N5+N11</f>
        <v>451507.589861353</v>
      </c>
      <c r="O13" s="23" t="n">
        <f aca="false">O4+O5+O11</f>
        <v>651710.65188274</v>
      </c>
      <c r="P13" s="23" t="n">
        <f aca="false">P4+P5+P11</f>
        <v>761644.384721304</v>
      </c>
      <c r="Q13" s="23" t="n">
        <f aca="false">Q4+Q5+Q11</f>
        <v>829337.299591216</v>
      </c>
    </row>
    <row r="14" customFormat="false" ht="15.75" hidden="false" customHeight="true" outlineLevel="0" collapsed="false"/>
    <row r="15" customFormat="false" ht="15" hidden="false" customHeight="false" outlineLevel="0" collapsed="false">
      <c r="A15" s="3" t="s">
        <v>148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customFormat="false" ht="15" hidden="false" customHeight="false" outlineLevel="0" collapsed="false">
      <c r="A16" s="18" t="s">
        <v>149</v>
      </c>
      <c r="B16" s="21" t="n">
        <f aca="false">-Assumptions!B65</f>
        <v>-350000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customFormat="false" ht="15.75" hidden="false" customHeight="true" outlineLevel="0" collapsed="false">
      <c r="A17" s="22" t="s">
        <v>150</v>
      </c>
      <c r="B17" s="23" t="n">
        <f aca="false">B16</f>
        <v>-350000</v>
      </c>
      <c r="C17" s="23" t="n">
        <f aca="false">C16</f>
        <v>0</v>
      </c>
      <c r="D17" s="23" t="n">
        <f aca="false">D16</f>
        <v>0</v>
      </c>
      <c r="E17" s="23" t="n">
        <f aca="false">E16</f>
        <v>0</v>
      </c>
      <c r="F17" s="23" t="n">
        <f aca="false">F16</f>
        <v>0</v>
      </c>
      <c r="G17" s="23" t="n">
        <f aca="false">G16</f>
        <v>0</v>
      </c>
      <c r="H17" s="23" t="n">
        <f aca="false">H16</f>
        <v>0</v>
      </c>
      <c r="I17" s="23" t="n">
        <f aca="false">I16</f>
        <v>0</v>
      </c>
      <c r="J17" s="23" t="n">
        <f aca="false">J16</f>
        <v>0</v>
      </c>
      <c r="K17" s="23" t="n">
        <f aca="false">K16</f>
        <v>0</v>
      </c>
      <c r="L17" s="23" t="n">
        <f aca="false">L16</f>
        <v>0</v>
      </c>
      <c r="M17" s="23" t="n">
        <f aca="false">M16</f>
        <v>0</v>
      </c>
      <c r="N17" s="23" t="n">
        <f aca="false">N16</f>
        <v>0</v>
      </c>
      <c r="O17" s="23" t="n">
        <f aca="false">O16</f>
        <v>0</v>
      </c>
      <c r="P17" s="23" t="n">
        <f aca="false">P16</f>
        <v>0</v>
      </c>
      <c r="Q17" s="23" t="n">
        <f aca="false">Q16</f>
        <v>0</v>
      </c>
    </row>
    <row r="18" customFormat="false" ht="15.75" hidden="false" customHeight="true" outlineLevel="0" collapsed="false"/>
    <row r="19" customFormat="false" ht="15" hidden="false" customHeight="false" outlineLevel="0" collapsed="false">
      <c r="A19" s="3" t="s">
        <v>151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customFormat="false" ht="15" hidden="false" customHeight="false" outlineLevel="0" collapsed="false">
      <c r="A20" s="18" t="s">
        <v>152</v>
      </c>
      <c r="B20" s="21" t="n">
        <f aca="false">Assumptions!B66</f>
        <v>250000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customFormat="false" ht="15" hidden="false" customHeight="false" outlineLevel="0" collapsed="false">
      <c r="A21" s="18" t="s">
        <v>57</v>
      </c>
      <c r="B21" s="21" t="n">
        <f aca="false">Assumptions!B67</f>
        <v>100000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</row>
    <row r="22" customFormat="false" ht="15" hidden="false" customHeight="false" outlineLevel="0" collapsed="false">
      <c r="A22" s="18" t="s">
        <v>153</v>
      </c>
      <c r="B22" s="21" t="n">
        <f aca="false">-Assumptions!B66/(Assumptions!B69*12)</f>
        <v>-2976.19047619048</v>
      </c>
      <c r="C22" s="21" t="n">
        <f aca="false">-Assumptions!B66/(Assumptions!B69*12)</f>
        <v>-2976.19047619048</v>
      </c>
      <c r="D22" s="21" t="n">
        <f aca="false">-Assumptions!B66/(Assumptions!B69*12)</f>
        <v>-2976.19047619048</v>
      </c>
      <c r="E22" s="21" t="n">
        <f aca="false">-Assumptions!B66/(Assumptions!B69*12)</f>
        <v>-2976.19047619048</v>
      </c>
      <c r="F22" s="21" t="n">
        <f aca="false">-Assumptions!B66/(Assumptions!B69*12)</f>
        <v>-2976.19047619048</v>
      </c>
      <c r="G22" s="21" t="n">
        <f aca="false">-Assumptions!B66/(Assumptions!B69*12)</f>
        <v>-2976.19047619048</v>
      </c>
      <c r="H22" s="21" t="n">
        <f aca="false">-Assumptions!B66/(Assumptions!B69*12)</f>
        <v>-2976.19047619048</v>
      </c>
      <c r="I22" s="21" t="n">
        <f aca="false">-Assumptions!B66/(Assumptions!B69*12)</f>
        <v>-2976.19047619048</v>
      </c>
      <c r="J22" s="21" t="n">
        <f aca="false">-Assumptions!B66/(Assumptions!B69*12)</f>
        <v>-2976.19047619048</v>
      </c>
      <c r="K22" s="21" t="n">
        <f aca="false">-Assumptions!B66/(Assumptions!B69*12)</f>
        <v>-2976.19047619048</v>
      </c>
      <c r="L22" s="21" t="n">
        <f aca="false">-Assumptions!B66/(Assumptions!B69*12)</f>
        <v>-2976.19047619048</v>
      </c>
      <c r="M22" s="21" t="n">
        <f aca="false">-Assumptions!B66/(Assumptions!B69*12)</f>
        <v>-2976.19047619048</v>
      </c>
      <c r="N22" s="21" t="n">
        <f aca="false">-Assumptions!B66/Assumptions!B69</f>
        <v>-35714.2857142857</v>
      </c>
      <c r="O22" s="21" t="n">
        <f aca="false">-Assumptions!B66/Assumptions!B69</f>
        <v>-35714.2857142857</v>
      </c>
      <c r="P22" s="21" t="n">
        <f aca="false">-Assumptions!B66/Assumptions!B69</f>
        <v>-35714.2857142857</v>
      </c>
      <c r="Q22" s="21" t="n">
        <f aca="false">-Assumptions!B66/Assumptions!B69</f>
        <v>-35714.2857142857</v>
      </c>
    </row>
    <row r="23" customFormat="false" ht="15.75" hidden="false" customHeight="true" outlineLevel="0" collapsed="false">
      <c r="A23" s="22" t="s">
        <v>154</v>
      </c>
      <c r="B23" s="23" t="n">
        <f aca="false">B20+B21+B22</f>
        <v>347023.80952381</v>
      </c>
      <c r="C23" s="23" t="n">
        <f aca="false">C20+C21+C22</f>
        <v>-2976.19047619048</v>
      </c>
      <c r="D23" s="23" t="n">
        <f aca="false">D20+D21+D22</f>
        <v>-2976.19047619048</v>
      </c>
      <c r="E23" s="23" t="n">
        <f aca="false">E20+E21+E22</f>
        <v>-2976.19047619048</v>
      </c>
      <c r="F23" s="23" t="n">
        <f aca="false">F20+F21+F22</f>
        <v>-2976.19047619048</v>
      </c>
      <c r="G23" s="23" t="n">
        <f aca="false">G20+G21+G22</f>
        <v>-2976.19047619048</v>
      </c>
      <c r="H23" s="23" t="n">
        <f aca="false">H20+H21+H22</f>
        <v>-2976.19047619048</v>
      </c>
      <c r="I23" s="23" t="n">
        <f aca="false">I20+I21+I22</f>
        <v>-2976.19047619048</v>
      </c>
      <c r="J23" s="23" t="n">
        <f aca="false">J20+J21+J22</f>
        <v>-2976.19047619048</v>
      </c>
      <c r="K23" s="23" t="n">
        <f aca="false">K20+K21+K22</f>
        <v>-2976.19047619048</v>
      </c>
      <c r="L23" s="23" t="n">
        <f aca="false">L20+L21+L22</f>
        <v>-2976.19047619048</v>
      </c>
      <c r="M23" s="23" t="n">
        <f aca="false">M20+M21+M22</f>
        <v>-2976.19047619048</v>
      </c>
      <c r="N23" s="23" t="n">
        <f aca="false">N20+N21+N22</f>
        <v>-35714.2857142857</v>
      </c>
      <c r="O23" s="23" t="n">
        <f aca="false">O20+O21+O22</f>
        <v>-35714.2857142857</v>
      </c>
      <c r="P23" s="23" t="n">
        <f aca="false">P20+P21+P22</f>
        <v>-35714.2857142857</v>
      </c>
      <c r="Q23" s="23" t="n">
        <f aca="false">Q20+Q21+Q22</f>
        <v>-35714.2857142857</v>
      </c>
    </row>
    <row r="24" customFormat="false" ht="15.75" hidden="false" customHeight="true" outlineLevel="0" collapsed="false"/>
    <row r="25" customFormat="false" ht="15.75" hidden="false" customHeight="true" outlineLevel="0" collapsed="false">
      <c r="A25" s="22" t="s">
        <v>155</v>
      </c>
      <c r="B25" s="24" t="n">
        <f aca="false">B13+B17+B23</f>
        <v>-32717.9038095238</v>
      </c>
      <c r="C25" s="24" t="n">
        <f aca="false">C13+C17+C23</f>
        <v>-29472.8238095238</v>
      </c>
      <c r="D25" s="24" t="n">
        <f aca="false">D13+D17+D23</f>
        <v>-24613.1874458874</v>
      </c>
      <c r="E25" s="24" t="n">
        <f aca="false">E13+E17+E23</f>
        <v>-19753.5510822511</v>
      </c>
      <c r="F25" s="24" t="n">
        <f aca="false">F13+F17+F23</f>
        <v>-14893.9147186147</v>
      </c>
      <c r="G25" s="24" t="n">
        <f aca="false">G13+G17+G23</f>
        <v>-10034.2783549783</v>
      </c>
      <c r="H25" s="24" t="n">
        <f aca="false">H13+H17+H23</f>
        <v>-5174.641991342</v>
      </c>
      <c r="I25" s="24" t="n">
        <f aca="false">I13+I17+I23</f>
        <v>-315.005627705612</v>
      </c>
      <c r="J25" s="24" t="n">
        <f aca="false">J13+J17+J23</f>
        <v>3385.61634199134</v>
      </c>
      <c r="K25" s="24" t="n">
        <f aca="false">K13+K17+K23</f>
        <v>7030.34361471862</v>
      </c>
      <c r="L25" s="24" t="n">
        <f aca="false">L13+L17+L23</f>
        <v>10675.0708874459</v>
      </c>
      <c r="M25" s="24" t="n">
        <f aca="false">M13+M17+M23</f>
        <v>14319.7981601732</v>
      </c>
      <c r="N25" s="24" t="n">
        <f aca="false">N13+N17+N23</f>
        <v>415793.304147067</v>
      </c>
      <c r="O25" s="24" t="n">
        <f aca="false">O13+O17+O23</f>
        <v>615996.366168454</v>
      </c>
      <c r="P25" s="24" t="n">
        <f aca="false">P13+P17+P23</f>
        <v>725930.099007019</v>
      </c>
      <c r="Q25" s="24" t="n">
        <f aca="false">Q13+Q17+Q23</f>
        <v>793623.01387693</v>
      </c>
    </row>
    <row r="26" customFormat="false" ht="15.75" hidden="false" customHeight="true" outlineLevel="0" collapsed="false"/>
    <row r="27" customFormat="false" ht="15" hidden="false" customHeight="false" outlineLevel="0" collapsed="false">
      <c r="A27" s="3" t="s">
        <v>156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customFormat="false" ht="15" hidden="false" customHeight="false" outlineLevel="0" collapsed="false">
      <c r="A28" s="18" t="s">
        <v>66</v>
      </c>
      <c r="B28" s="21" t="n">
        <f aca="false">Assumptions!B77</f>
        <v>50000</v>
      </c>
      <c r="C28" s="21" t="n">
        <f aca="false">B29</f>
        <v>17282.0961904762</v>
      </c>
      <c r="D28" s="21" t="n">
        <f aca="false">C29</f>
        <v>-12190.7276190476</v>
      </c>
      <c r="E28" s="21" t="n">
        <f aca="false">D29</f>
        <v>-36803.915064935</v>
      </c>
      <c r="F28" s="21" t="n">
        <f aca="false">E29</f>
        <v>-56557.4661471861</v>
      </c>
      <c r="G28" s="21" t="n">
        <f aca="false">F29</f>
        <v>-71451.3808658008</v>
      </c>
      <c r="H28" s="21" t="n">
        <f aca="false">G29</f>
        <v>-81485.6592207792</v>
      </c>
      <c r="I28" s="21" t="n">
        <f aca="false">H29</f>
        <v>-86660.3012121212</v>
      </c>
      <c r="J28" s="21" t="n">
        <f aca="false">I29</f>
        <v>-86975.3068398268</v>
      </c>
      <c r="K28" s="21" t="n">
        <f aca="false">J29</f>
        <v>-83589.6904978354</v>
      </c>
      <c r="L28" s="21" t="n">
        <f aca="false">K29</f>
        <v>-76559.3468831168</v>
      </c>
      <c r="M28" s="21" t="n">
        <f aca="false">L29</f>
        <v>-65884.275995671</v>
      </c>
      <c r="N28" s="21" t="n">
        <f aca="false">M29</f>
        <v>-51564.4778354978</v>
      </c>
      <c r="O28" s="21" t="n">
        <f aca="false">N29</f>
        <v>364228.82631157</v>
      </c>
      <c r="P28" s="21" t="n">
        <f aca="false">O29</f>
        <v>980225.192480024</v>
      </c>
      <c r="Q28" s="21" t="n">
        <f aca="false">P29</f>
        <v>1706155.29148704</v>
      </c>
    </row>
    <row r="29" customFormat="false" ht="15.75" hidden="false" customHeight="true" outlineLevel="0" collapsed="false">
      <c r="A29" s="22" t="s">
        <v>157</v>
      </c>
      <c r="B29" s="24" t="n">
        <f aca="false">B28+B25</f>
        <v>17282.0961904762</v>
      </c>
      <c r="C29" s="24" t="n">
        <f aca="false">C28+C25</f>
        <v>-12190.7276190476</v>
      </c>
      <c r="D29" s="24" t="n">
        <f aca="false">D28+D25</f>
        <v>-36803.915064935</v>
      </c>
      <c r="E29" s="24" t="n">
        <f aca="false">E28+E25</f>
        <v>-56557.4661471861</v>
      </c>
      <c r="F29" s="24" t="n">
        <f aca="false">F28+F25</f>
        <v>-71451.3808658008</v>
      </c>
      <c r="G29" s="24" t="n">
        <f aca="false">G28+G25</f>
        <v>-81485.6592207792</v>
      </c>
      <c r="H29" s="24" t="n">
        <f aca="false">H28+H25</f>
        <v>-86660.3012121212</v>
      </c>
      <c r="I29" s="24" t="n">
        <f aca="false">I28+I25</f>
        <v>-86975.3068398268</v>
      </c>
      <c r="J29" s="24" t="n">
        <f aca="false">J28+J25</f>
        <v>-83589.6904978354</v>
      </c>
      <c r="K29" s="24" t="n">
        <f aca="false">K28+K25</f>
        <v>-76559.3468831168</v>
      </c>
      <c r="L29" s="24" t="n">
        <f aca="false">L28+L25</f>
        <v>-65884.275995671</v>
      </c>
      <c r="M29" s="24" t="n">
        <f aca="false">M28+M25</f>
        <v>-51564.4778354978</v>
      </c>
      <c r="N29" s="24" t="n">
        <f aca="false">N28+N25</f>
        <v>364228.82631157</v>
      </c>
      <c r="O29" s="24" t="n">
        <f aca="false">O28+O25</f>
        <v>980225.192480024</v>
      </c>
      <c r="P29" s="24" t="n">
        <f aca="false">P28+P25</f>
        <v>1706155.29148704</v>
      </c>
      <c r="Q29" s="24" t="n">
        <f aca="false">Q28+Q25</f>
        <v>2499778.30536397</v>
      </c>
    </row>
    <row r="30" customFormat="false" ht="15.7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F33"/>
  <sheetViews>
    <sheetView showFormulas="false" showGridLines="true" showRowColHeaders="true" showZeros="true" rightToLeft="false" tabSelected="true" showOutlineSymbols="true" defaultGridColor="true" view="normal" topLeftCell="A1" colorId="64" zoomScale="57" zoomScaleNormal="57" zoomScalePageLayoutView="100" workbookViewId="0">
      <selection pane="topLeft" activeCell="M51" activeCellId="0" sqref="M51"/>
    </sheetView>
  </sheetViews>
  <sheetFormatPr defaultColWidth="10.8359375" defaultRowHeight="15" customHeight="false" zeroHeight="false" outlineLevelRow="0" outlineLevelCol="0"/>
  <cols>
    <col collapsed="false" customWidth="true" hidden="false" outlineLevel="0" max="1" min="1" style="1" width="41.66"/>
    <col collapsed="false" customWidth="true" hidden="false" outlineLevel="0" max="6" min="2" style="1" width="20"/>
    <col collapsed="false" customWidth="false" hidden="false" outlineLevel="0" max="16384" min="7" style="1" width="10.83"/>
  </cols>
  <sheetData>
    <row r="1" customFormat="false" ht="30" hidden="false" customHeight="true" outlineLevel="0" collapsed="false">
      <c r="A1" s="17" t="s">
        <v>158</v>
      </c>
      <c r="B1" s="17"/>
      <c r="C1" s="17"/>
      <c r="D1" s="17"/>
      <c r="E1" s="17"/>
      <c r="F1" s="17"/>
    </row>
    <row r="3" customFormat="false" ht="15" hidden="false" customHeight="false" outlineLevel="0" collapsed="false">
      <c r="A3" s="3" t="s">
        <v>159</v>
      </c>
      <c r="B3" s="3"/>
      <c r="C3" s="3"/>
      <c r="D3" s="3"/>
      <c r="E3" s="3"/>
      <c r="F3" s="3"/>
    </row>
    <row r="4" customFormat="false" ht="15" hidden="false" customHeight="false" outlineLevel="0" collapsed="false">
      <c r="B4" s="25" t="s">
        <v>160</v>
      </c>
      <c r="C4" s="25" t="s">
        <v>80</v>
      </c>
      <c r="D4" s="25" t="s">
        <v>81</v>
      </c>
      <c r="E4" s="25" t="s">
        <v>82</v>
      </c>
      <c r="F4" s="25" t="s">
        <v>83</v>
      </c>
    </row>
    <row r="5" customFormat="false" ht="15" hidden="false" customHeight="false" outlineLevel="0" collapsed="false">
      <c r="A5" s="18" t="s">
        <v>100</v>
      </c>
      <c r="B5" s="21" t="n">
        <f aca="false">SUM('P&amp;L Projection'!B7:M7)</f>
        <v>1458480</v>
      </c>
      <c r="C5" s="21" t="n">
        <f aca="false">'P&amp;L Projection'!N7</f>
        <v>2462400</v>
      </c>
      <c r="D5" s="21" t="n">
        <f aca="false">'P&amp;L Projection'!O7</f>
        <v>2757888</v>
      </c>
      <c r="E5" s="21" t="n">
        <f aca="false">'P&amp;L Projection'!P7</f>
        <v>2978519.04</v>
      </c>
      <c r="F5" s="21" t="n">
        <f aca="false">'P&amp;L Projection'!Q7</f>
        <v>3127444.992</v>
      </c>
    </row>
    <row r="6" customFormat="false" ht="15" hidden="false" customHeight="false" outlineLevel="0" collapsed="false">
      <c r="A6" s="18" t="s">
        <v>161</v>
      </c>
      <c r="B6" s="21" t="n">
        <f aca="false">SUM('P&amp;L Projection'!B15:M15)</f>
        <v>1119393.6</v>
      </c>
      <c r="C6" s="21" t="n">
        <f aca="false">'P&amp;L Projection'!N15</f>
        <v>1890794.88</v>
      </c>
      <c r="D6" s="21" t="n">
        <f aca="false">'P&amp;L Projection'!O15</f>
        <v>2117690.2656</v>
      </c>
      <c r="E6" s="21" t="n">
        <f aca="false">'P&amp;L Projection'!P15</f>
        <v>2287105.486848</v>
      </c>
      <c r="F6" s="21" t="n">
        <f aca="false">'P&amp;L Projection'!Q15</f>
        <v>2401460.7611904</v>
      </c>
    </row>
    <row r="7" customFormat="false" ht="15" hidden="false" customHeight="false" outlineLevel="0" collapsed="false">
      <c r="A7" s="18" t="s">
        <v>111</v>
      </c>
      <c r="B7" s="19" t="n">
        <f aca="false">IF(B5=0,0,B6/B5)</f>
        <v>0.76750699358236</v>
      </c>
      <c r="C7" s="19" t="n">
        <f aca="false">IF(C5=0,0,C6/C5)</f>
        <v>0.767866666666667</v>
      </c>
      <c r="D7" s="19" t="n">
        <f aca="false">IF(D5=0,0,D6/D5)</f>
        <v>0.767866666666667</v>
      </c>
      <c r="E7" s="19" t="n">
        <f aca="false">IF(E5=0,0,E6/E5)</f>
        <v>0.767866666666667</v>
      </c>
      <c r="F7" s="19" t="n">
        <f aca="false">IF(F5=0,0,F6/F5)</f>
        <v>0.767866666666667</v>
      </c>
    </row>
    <row r="8" customFormat="false" ht="15" hidden="false" customHeight="false" outlineLevel="0" collapsed="false">
      <c r="A8" s="18" t="s">
        <v>162</v>
      </c>
      <c r="B8" s="21" t="n">
        <f aca="false">SUM('P&amp;L Projection'!B36:M36)</f>
        <v>-36406.4</v>
      </c>
      <c r="C8" s="21" t="n">
        <f aca="false">'P&amp;L Projection'!N36</f>
        <v>705798.88</v>
      </c>
      <c r="D8" s="21" t="n">
        <f aca="false">'P&amp;L Projection'!O36</f>
        <v>902622.3856</v>
      </c>
      <c r="E8" s="21" t="n">
        <f aca="false">'P&amp;L Projection'!P36</f>
        <v>1041063.570448</v>
      </c>
      <c r="F8" s="21" t="n">
        <f aca="false">'P&amp;L Projection'!Q36</f>
        <v>1123515.5872984</v>
      </c>
    </row>
    <row r="9" customFormat="false" ht="15" hidden="false" customHeight="false" outlineLevel="0" collapsed="false">
      <c r="A9" s="18" t="s">
        <v>128</v>
      </c>
      <c r="B9" s="19" t="n">
        <f aca="false">IF(B5=0,0,B8/B5)</f>
        <v>-0.0249618781196862</v>
      </c>
      <c r="C9" s="19" t="n">
        <f aca="false">IF(C5=0,0,C8/C5)</f>
        <v>0.286630474333983</v>
      </c>
      <c r="D9" s="19" t="n">
        <f aca="false">IF(D5=0,0,D8/D5)</f>
        <v>0.327287542351249</v>
      </c>
      <c r="E9" s="19" t="n">
        <f aca="false">IF(E5=0,0,E8/E5)</f>
        <v>0.34952389307137</v>
      </c>
      <c r="F9" s="19" t="n">
        <f aca="false">IF(F5=0,0,F8/F5)</f>
        <v>0.359243916414949</v>
      </c>
    </row>
    <row r="10" customFormat="false" ht="15.75" hidden="false" customHeight="true" outlineLevel="0" collapsed="false">
      <c r="A10" s="22" t="s">
        <v>140</v>
      </c>
      <c r="B10" s="23" t="n">
        <f aca="false">SUM('P&amp;L Projection'!B51:M51)</f>
        <v>-102081.912121212</v>
      </c>
      <c r="C10" s="23" t="n">
        <f aca="false">'P&amp;L Projection'!N51</f>
        <v>489036.66</v>
      </c>
      <c r="D10" s="23" t="n">
        <f aca="false">'P&amp;L Projection'!O51</f>
        <v>636654.2892</v>
      </c>
      <c r="E10" s="23" t="n">
        <f aca="false">'P&amp;L Projection'!P51</f>
        <v>740485.177836</v>
      </c>
      <c r="F10" s="23" t="n">
        <f aca="false">'P&amp;L Projection'!Q51</f>
        <v>802324.1904738</v>
      </c>
    </row>
    <row r="11" customFormat="false" ht="15.75" hidden="false" customHeight="true" outlineLevel="0" collapsed="false">
      <c r="A11" s="18" t="s">
        <v>137</v>
      </c>
      <c r="B11" s="19" t="n">
        <f aca="false">IF(B5=0,0,B10/B5)</f>
        <v>-0.0699919862604987</v>
      </c>
      <c r="C11" s="19" t="n">
        <f aca="false">IF(C5=0,0,C10/C5)</f>
        <v>0.198601632553606</v>
      </c>
      <c r="D11" s="19" t="n">
        <f aca="false">IF(D5=0,0,D10/D5)</f>
        <v>0.230848493194793</v>
      </c>
      <c r="E11" s="19" t="n">
        <f aca="false">IF(E5=0,0,E10/E5)</f>
        <v>0.24860850909182</v>
      </c>
      <c r="F11" s="19" t="n">
        <f aca="false">IF(F5=0,0,F10/F5)</f>
        <v>0.256543022347681</v>
      </c>
    </row>
    <row r="12" customFormat="false" ht="15.75" hidden="false" customHeight="true" outlineLevel="0" collapsed="false">
      <c r="A12" s="22" t="s">
        <v>163</v>
      </c>
      <c r="B12" s="23" t="n">
        <f aca="false">'Cash Flow'!M29</f>
        <v>-51564.4778354978</v>
      </c>
      <c r="C12" s="23" t="n">
        <f aca="false">'Cash Flow'!N29</f>
        <v>364228.82631157</v>
      </c>
      <c r="D12" s="23" t="n">
        <f aca="false">'Cash Flow'!O29</f>
        <v>980225.192480024</v>
      </c>
      <c r="E12" s="23" t="n">
        <f aca="false">'Cash Flow'!P29</f>
        <v>1706155.29148704</v>
      </c>
      <c r="F12" s="23" t="n">
        <f aca="false">'Cash Flow'!Q29</f>
        <v>2499778.30536397</v>
      </c>
    </row>
    <row r="13" customFormat="false" ht="15.75" hidden="false" customHeight="true" outlineLevel="0" collapsed="false"/>
    <row r="14" customFormat="false" ht="15" hidden="false" customHeight="false" outlineLevel="0" collapsed="false">
      <c r="A14" s="3" t="s">
        <v>164</v>
      </c>
      <c r="B14" s="3"/>
      <c r="C14" s="3"/>
      <c r="D14" s="3"/>
      <c r="E14" s="3"/>
      <c r="F14" s="3"/>
    </row>
    <row r="15" customFormat="false" ht="15" hidden="false" customHeight="false" outlineLevel="0" collapsed="false">
      <c r="A15" s="18" t="s">
        <v>165</v>
      </c>
      <c r="B15" s="26" t="n">
        <f aca="false" t="array" ref="B15:B15">IFERROR(MATCH(TRUE(),INDEX('P&amp;L Projection'!B51:M51&gt;0,0),0),"Not in Year 1")</f>
        <v>9</v>
      </c>
      <c r="C15" s="18"/>
      <c r="D15" s="18"/>
      <c r="E15" s="18"/>
      <c r="F15" s="18"/>
    </row>
    <row r="16" customFormat="false" ht="15" hidden="false" customHeight="false" outlineLevel="0" collapsed="false">
      <c r="A16" s="18" t="s">
        <v>166</v>
      </c>
      <c r="B16" s="18" t="str">
        <f aca="false">IF(ISNUMBER(B15),CHOOSE(B15,"Jan","Feb","Mar","Apr","May","Jun","Jul","Aug","Sep","Oct","Nov","Dec"),"N/A")</f>
        <v>Sep</v>
      </c>
      <c r="C16" s="18"/>
      <c r="D16" s="18"/>
      <c r="E16" s="18"/>
      <c r="F16" s="18"/>
    </row>
    <row r="18" customFormat="false" ht="15" hidden="false" customHeight="false" outlineLevel="0" collapsed="false">
      <c r="A18" s="3" t="s">
        <v>167</v>
      </c>
      <c r="B18" s="3"/>
      <c r="C18" s="3"/>
      <c r="D18" s="3"/>
      <c r="E18" s="3"/>
      <c r="F18" s="3"/>
    </row>
    <row r="19" customFormat="false" ht="15" hidden="false" customHeight="false" outlineLevel="0" collapsed="false">
      <c r="A19" s="22"/>
      <c r="B19" s="22" t="s">
        <v>160</v>
      </c>
      <c r="C19" s="22" t="s">
        <v>80</v>
      </c>
      <c r="D19" s="22" t="s">
        <v>81</v>
      </c>
      <c r="E19" s="22" t="s">
        <v>82</v>
      </c>
      <c r="F19" s="22" t="s">
        <v>83</v>
      </c>
    </row>
    <row r="20" customFormat="false" ht="15" hidden="false" customHeight="false" outlineLevel="0" collapsed="false">
      <c r="A20" s="1" t="s">
        <v>168</v>
      </c>
      <c r="B20" s="27" t="n">
        <f aca="false">B5</f>
        <v>1458480</v>
      </c>
      <c r="C20" s="27" t="n">
        <f aca="false">C5</f>
        <v>2462400</v>
      </c>
      <c r="D20" s="27" t="n">
        <f aca="false">D5</f>
        <v>2757888</v>
      </c>
      <c r="E20" s="27" t="n">
        <f aca="false">E5</f>
        <v>2978519.04</v>
      </c>
      <c r="F20" s="27" t="n">
        <f aca="false">F5</f>
        <v>3127444.992</v>
      </c>
    </row>
    <row r="21" customFormat="false" ht="15" hidden="false" customHeight="false" outlineLevel="0" collapsed="false">
      <c r="A21" s="1" t="s">
        <v>110</v>
      </c>
      <c r="B21" s="27" t="n">
        <f aca="false">B6</f>
        <v>1119393.6</v>
      </c>
      <c r="C21" s="27" t="n">
        <f aca="false">C6</f>
        <v>1890794.88</v>
      </c>
      <c r="D21" s="27" t="n">
        <f aca="false">D6</f>
        <v>2117690.2656</v>
      </c>
      <c r="E21" s="27" t="n">
        <f aca="false">E6</f>
        <v>2287105.486848</v>
      </c>
      <c r="F21" s="27" t="n">
        <f aca="false">F6</f>
        <v>2401460.7611904</v>
      </c>
    </row>
    <row r="22" customFormat="false" ht="15" hidden="false" customHeight="false" outlineLevel="0" collapsed="false">
      <c r="A22" s="1" t="s">
        <v>127</v>
      </c>
      <c r="B22" s="27" t="n">
        <f aca="false">B8</f>
        <v>-36406.4</v>
      </c>
      <c r="C22" s="27" t="n">
        <f aca="false">C8</f>
        <v>705798.88</v>
      </c>
      <c r="D22" s="27" t="n">
        <f aca="false">D8</f>
        <v>902622.3856</v>
      </c>
      <c r="E22" s="27" t="n">
        <f aca="false">E8</f>
        <v>1041063.570448</v>
      </c>
      <c r="F22" s="27" t="n">
        <f aca="false">F8</f>
        <v>1123515.5872984</v>
      </c>
    </row>
    <row r="23" customFormat="false" ht="15" hidden="false" customHeight="false" outlineLevel="0" collapsed="false">
      <c r="A23" s="1" t="s">
        <v>136</v>
      </c>
      <c r="B23" s="27" t="n">
        <f aca="false">B10</f>
        <v>-102081.912121212</v>
      </c>
      <c r="C23" s="27" t="n">
        <f aca="false">C10</f>
        <v>489036.66</v>
      </c>
      <c r="D23" s="27" t="n">
        <f aca="false">D10</f>
        <v>636654.2892</v>
      </c>
      <c r="E23" s="27" t="n">
        <f aca="false">E10</f>
        <v>740485.177836</v>
      </c>
      <c r="F23" s="27" t="n">
        <f aca="false">F10</f>
        <v>802324.1904738</v>
      </c>
    </row>
    <row r="25" customFormat="false" ht="15" hidden="false" customHeight="false" outlineLevel="0" collapsed="false">
      <c r="A25" s="3" t="s">
        <v>169</v>
      </c>
      <c r="B25" s="3"/>
      <c r="C25" s="3"/>
      <c r="D25" s="3"/>
      <c r="E25" s="3"/>
      <c r="F25" s="3"/>
    </row>
    <row r="26" customFormat="false" ht="15" hidden="false" customHeight="false" outlineLevel="0" collapsed="false">
      <c r="A26" s="22"/>
      <c r="B26" s="22" t="s">
        <v>160</v>
      </c>
      <c r="C26" s="22" t="s">
        <v>80</v>
      </c>
      <c r="D26" s="22" t="s">
        <v>81</v>
      </c>
      <c r="E26" s="22" t="s">
        <v>82</v>
      </c>
      <c r="F26" s="22" t="s">
        <v>83</v>
      </c>
    </row>
    <row r="27" customFormat="false" ht="15" hidden="false" customHeight="false" outlineLevel="0" collapsed="false">
      <c r="A27" s="1" t="s">
        <v>170</v>
      </c>
      <c r="B27" s="28" t="n">
        <f aca="false">B7</f>
        <v>0.76750699358236</v>
      </c>
      <c r="C27" s="28" t="n">
        <f aca="false">C7</f>
        <v>0.767866666666667</v>
      </c>
      <c r="D27" s="28" t="n">
        <f aca="false">D7</f>
        <v>0.767866666666667</v>
      </c>
      <c r="E27" s="28" t="n">
        <f aca="false">E7</f>
        <v>0.767866666666667</v>
      </c>
      <c r="F27" s="28" t="n">
        <f aca="false">F7</f>
        <v>0.767866666666667</v>
      </c>
    </row>
    <row r="28" customFormat="false" ht="15" hidden="false" customHeight="false" outlineLevel="0" collapsed="false">
      <c r="A28" s="1" t="s">
        <v>171</v>
      </c>
      <c r="B28" s="28" t="n">
        <f aca="false">B9</f>
        <v>-0.0249618781196862</v>
      </c>
      <c r="C28" s="28" t="n">
        <f aca="false">C9</f>
        <v>0.286630474333983</v>
      </c>
      <c r="D28" s="28" t="n">
        <f aca="false">D9</f>
        <v>0.327287542351249</v>
      </c>
      <c r="E28" s="28" t="n">
        <f aca="false">E9</f>
        <v>0.34952389307137</v>
      </c>
      <c r="F28" s="28" t="n">
        <f aca="false">F9</f>
        <v>0.359243916414949</v>
      </c>
    </row>
    <row r="29" customFormat="false" ht="15" hidden="false" customHeight="false" outlineLevel="0" collapsed="false">
      <c r="A29" s="1" t="s">
        <v>172</v>
      </c>
      <c r="B29" s="28" t="n">
        <f aca="false">B11</f>
        <v>-0.0699919862604987</v>
      </c>
      <c r="C29" s="28" t="n">
        <f aca="false">C11</f>
        <v>0.198601632553606</v>
      </c>
      <c r="D29" s="28" t="n">
        <f aca="false">D11</f>
        <v>0.230848493194793</v>
      </c>
      <c r="E29" s="28" t="n">
        <f aca="false">E11</f>
        <v>0.24860850909182</v>
      </c>
      <c r="F29" s="28" t="n">
        <f aca="false">F11</f>
        <v>0.256543022347681</v>
      </c>
    </row>
    <row r="31" customFormat="false" ht="15" hidden="false" customHeight="false" outlineLevel="0" collapsed="false">
      <c r="A31" s="3" t="s">
        <v>173</v>
      </c>
      <c r="B31" s="3"/>
      <c r="C31" s="3"/>
      <c r="D31" s="3"/>
      <c r="E31" s="3"/>
      <c r="F31" s="3"/>
    </row>
    <row r="32" customFormat="false" ht="15" hidden="false" customHeight="false" outlineLevel="0" collapsed="false">
      <c r="A32" s="22"/>
      <c r="B32" s="22" t="s">
        <v>160</v>
      </c>
      <c r="C32" s="22" t="s">
        <v>80</v>
      </c>
      <c r="D32" s="22" t="s">
        <v>81</v>
      </c>
      <c r="E32" s="22" t="s">
        <v>82</v>
      </c>
      <c r="F32" s="22" t="s">
        <v>83</v>
      </c>
    </row>
    <row r="33" customFormat="false" ht="15" hidden="false" customHeight="false" outlineLevel="0" collapsed="false">
      <c r="A33" s="1" t="s">
        <v>174</v>
      </c>
      <c r="B33" s="27" t="n">
        <f aca="false">B12</f>
        <v>-51564.4778354978</v>
      </c>
      <c r="C33" s="27" t="n">
        <f aca="false">C12</f>
        <v>364228.82631157</v>
      </c>
      <c r="D33" s="27" t="n">
        <f aca="false">D12</f>
        <v>980225.192480024</v>
      </c>
      <c r="E33" s="27" t="n">
        <f aca="false">E12</f>
        <v>1706155.29148704</v>
      </c>
      <c r="F33" s="27" t="n">
        <f aca="false">F12</f>
        <v>2499778.30536397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LibreOffice/26.2.1.2$MacOSX_AARCH64 LibreOffice_project/8399f6259d8c87f40e7255cdb3c9b958f5e08948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2026-03-22T16:43:11Z</dcterms:created>
  <dc:creator>Bob Evers</dc:creator>
  <dc:description/>
  <dc:language>en-US</dc:language>
  <cp:lastModifiedBy>Bob Evers</cp:lastModifiedBy>
  <dcterms:modified xsi:type="dcterms:W3CDTF">2026-04-11T16:06:08Z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